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4520" windowHeight="12165" activeTab="5"/>
  </bookViews>
  <sheets>
    <sheet name="1. Ekamutner" sheetId="9" r:id="rId1"/>
    <sheet name="2.Gorcarakan tsaxs" sheetId="3" r:id="rId2"/>
    <sheet name="3.Tntesagitakan tsaxs" sheetId="4" r:id="rId3"/>
    <sheet name="4.Devicit " sheetId="15" state="hidden" r:id="rId4"/>
    <sheet name="5.Havelurd " sheetId="16" state="hidden" r:id="rId5"/>
    <sheet name="4.Gorcarakan ev tntesagitakan" sheetId="7" r:id="rId6"/>
  </sheets>
  <definedNames>
    <definedName name="_xlnm._FilterDatabase" localSheetId="0" hidden="1">'1. Ekamutner'!$A$15:$K$128</definedName>
    <definedName name="_xlnm._FilterDatabase" localSheetId="1" hidden="1">'2.Gorcarakan tsaxs'!$A$15:$AC$314</definedName>
    <definedName name="_xlnm._FilterDatabase" localSheetId="2" hidden="1">'3.Tntesagitakan tsaxs'!$A$16:$Q$236</definedName>
    <definedName name="_xlnm._FilterDatabase" localSheetId="5" hidden="1">'4.Gorcarakan ev tntesagitakan'!$A$14:$N$781</definedName>
    <definedName name="_xlnm.Print_Area" localSheetId="0">'1. Ekamutner'!$A$1:$J$130</definedName>
    <definedName name="_xlnm.Print_Area" localSheetId="1">'2.Gorcarakan tsaxs'!$A$1:$L$314</definedName>
    <definedName name="_xlnm.Print_Area" localSheetId="2">'3.Tntesagitakan tsaxs'!$A$1:$J$236</definedName>
    <definedName name="_xlnm.Print_Area" localSheetId="5">'4.Gorcarakan ev tntesagitakan'!$B$1:$N$781</definedName>
  </definedNames>
  <calcPr calcId="124519"/>
</workbook>
</file>

<file path=xl/calcChain.xml><?xml version="1.0" encoding="utf-8"?>
<calcChain xmlns="http://schemas.openxmlformats.org/spreadsheetml/2006/main">
  <c r="I549" i="7"/>
  <c r="I550" l="1"/>
  <c r="I551"/>
  <c r="J46"/>
  <c r="I635" l="1"/>
  <c r="I457"/>
  <c r="I451"/>
  <c r="I403"/>
  <c r="I400"/>
  <c r="I368"/>
  <c r="J464"/>
  <c r="J564"/>
  <c r="H569"/>
  <c r="M691"/>
  <c r="I693"/>
  <c r="I691" s="1"/>
  <c r="J693"/>
  <c r="J691" s="1"/>
  <c r="K693"/>
  <c r="K691" s="1"/>
  <c r="L693"/>
  <c r="L691" s="1"/>
  <c r="M693"/>
  <c r="H697"/>
  <c r="N697" s="1"/>
  <c r="N569" l="1"/>
  <c r="E65" i="4"/>
  <c r="H696" i="7"/>
  <c r="N696" s="1"/>
  <c r="H568" l="1"/>
  <c r="M461"/>
  <c r="N568" l="1"/>
  <c r="E109" i="9"/>
  <c r="D109" s="1"/>
  <c r="J461" i="7"/>
  <c r="J287"/>
  <c r="J408"/>
  <c r="I435"/>
  <c r="I567"/>
  <c r="I564" s="1"/>
  <c r="E101" i="9"/>
  <c r="E100"/>
  <c r="E82"/>
  <c r="E85"/>
  <c r="E23"/>
  <c r="E21"/>
  <c r="I410" i="7"/>
  <c r="J350"/>
  <c r="H350" s="1"/>
  <c r="F147" i="3" s="1"/>
  <c r="K350" i="7"/>
  <c r="L350"/>
  <c r="M350"/>
  <c r="N350"/>
  <c r="F74" i="9"/>
  <c r="E128"/>
  <c r="I219" i="4"/>
  <c r="H219"/>
  <c r="G219"/>
  <c r="M46" i="7"/>
  <c r="M106"/>
  <c r="I106"/>
  <c r="J288" l="1"/>
  <c r="H109" i="9"/>
  <c r="G109"/>
  <c r="L406" i="7"/>
  <c r="K406"/>
  <c r="J406"/>
  <c r="F186" i="4" s="1"/>
  <c r="H233"/>
  <c r="I22" i="9" l="1"/>
  <c r="J60" i="16"/>
  <c r="H60"/>
  <c r="I60"/>
  <c r="G60"/>
  <c r="J69" l="1"/>
  <c r="J68"/>
  <c r="G127" i="9"/>
  <c r="I453" i="7"/>
  <c r="I726"/>
  <c r="I572"/>
  <c r="I562"/>
  <c r="I404"/>
  <c r="I401"/>
  <c r="I369"/>
  <c r="I398" l="1"/>
  <c r="F69" i="16"/>
  <c r="J121" i="9" l="1"/>
  <c r="I119"/>
  <c r="H119"/>
  <c r="G119"/>
  <c r="H269" i="3"/>
  <c r="H271"/>
  <c r="H695" i="7"/>
  <c r="H406"/>
  <c r="J465"/>
  <c r="J409"/>
  <c r="H405"/>
  <c r="J398" l="1"/>
  <c r="J119" i="9"/>
  <c r="N695" i="7"/>
  <c r="N405"/>
  <c r="D128" i="9" l="1"/>
  <c r="H22" i="7"/>
  <c r="K22" s="1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N25" l="1"/>
  <c r="N26"/>
  <c r="N23"/>
  <c r="N24"/>
  <c r="G271" i="3"/>
  <c r="G269"/>
  <c r="H694" i="7"/>
  <c r="F154" i="4"/>
  <c r="I612" i="7"/>
  <c r="G238" i="3" s="1"/>
  <c r="J612" i="7"/>
  <c r="H238" i="3" s="1"/>
  <c r="H615" i="7"/>
  <c r="H436"/>
  <c r="H437"/>
  <c r="H438"/>
  <c r="H439"/>
  <c r="H440"/>
  <c r="H435"/>
  <c r="H409"/>
  <c r="F191" i="4"/>
  <c r="N463" i="7"/>
  <c r="N462"/>
  <c r="N460"/>
  <c r="N43"/>
  <c r="N42"/>
  <c r="H691" l="1"/>
  <c r="F269" i="3" s="1"/>
  <c r="H693" i="7"/>
  <c r="F271" i="3" s="1"/>
  <c r="L615" i="7"/>
  <c r="N438"/>
  <c r="N440"/>
  <c r="H612"/>
  <c r="N436"/>
  <c r="K615"/>
  <c r="N437"/>
  <c r="N439"/>
  <c r="N409"/>
  <c r="N615"/>
  <c r="M615"/>
  <c r="N435"/>
  <c r="N612" l="1"/>
  <c r="M612"/>
  <c r="L612"/>
  <c r="K612"/>
  <c r="F238" i="3"/>
  <c r="L238" l="1"/>
  <c r="K238"/>
  <c r="J238"/>
  <c r="I238"/>
  <c r="I103" i="7"/>
  <c r="J103"/>
  <c r="H410" l="1"/>
  <c r="I98"/>
  <c r="N410" l="1"/>
  <c r="H49"/>
  <c r="H50"/>
  <c r="F194" i="4"/>
  <c r="I20" i="7"/>
  <c r="H45"/>
  <c r="H46"/>
  <c r="H47"/>
  <c r="H48"/>
  <c r="J20"/>
  <c r="J99"/>
  <c r="F197" i="4" l="1"/>
  <c r="J18" i="7"/>
  <c r="I18"/>
  <c r="N46"/>
  <c r="N47"/>
  <c r="N49"/>
  <c r="N48"/>
  <c r="N50"/>
  <c r="N45"/>
  <c r="D209" i="4" l="1"/>
  <c r="F209"/>
  <c r="G209"/>
  <c r="H209"/>
  <c r="I209"/>
  <c r="J209"/>
  <c r="E44"/>
  <c r="G200"/>
  <c r="H200"/>
  <c r="I200"/>
  <c r="J200"/>
  <c r="G201"/>
  <c r="H201"/>
  <c r="I201"/>
  <c r="J201"/>
  <c r="G202"/>
  <c r="H202"/>
  <c r="I202"/>
  <c r="J202"/>
  <c r="G203"/>
  <c r="H203"/>
  <c r="I203"/>
  <c r="J203"/>
  <c r="G206"/>
  <c r="G204" s="1"/>
  <c r="H206"/>
  <c r="H204" s="1"/>
  <c r="I206"/>
  <c r="I204" s="1"/>
  <c r="J206"/>
  <c r="J204" s="1"/>
  <c r="J30"/>
  <c r="J28" s="1"/>
  <c r="J33"/>
  <c r="J31" s="1"/>
  <c r="J49"/>
  <c r="J83"/>
  <c r="J87"/>
  <c r="J97"/>
  <c r="J104"/>
  <c r="J108"/>
  <c r="J120"/>
  <c r="J118" s="1"/>
  <c r="J121"/>
  <c r="J122"/>
  <c r="J129"/>
  <c r="J136"/>
  <c r="G148"/>
  <c r="G146" s="1"/>
  <c r="H148"/>
  <c r="H146" s="1"/>
  <c r="I148"/>
  <c r="I146" s="1"/>
  <c r="J148"/>
  <c r="J146" s="1"/>
  <c r="G153"/>
  <c r="H153"/>
  <c r="I153"/>
  <c r="J153"/>
  <c r="G161"/>
  <c r="H161"/>
  <c r="I161"/>
  <c r="J161"/>
  <c r="G164"/>
  <c r="H164"/>
  <c r="I164"/>
  <c r="J164"/>
  <c r="G198" l="1"/>
  <c r="J207"/>
  <c r="G207"/>
  <c r="H207"/>
  <c r="I207"/>
  <c r="I198"/>
  <c r="J198"/>
  <c r="H198"/>
  <c r="J123"/>
  <c r="H284" i="7" l="1"/>
  <c r="N284" l="1"/>
  <c r="E114" i="4"/>
  <c r="H618" i="7"/>
  <c r="H113"/>
  <c r="H112"/>
  <c r="H44"/>
  <c r="I570"/>
  <c r="J570"/>
  <c r="H574"/>
  <c r="H401"/>
  <c r="H402"/>
  <c r="H403"/>
  <c r="H404"/>
  <c r="H407"/>
  <c r="H408"/>
  <c r="N44" l="1"/>
  <c r="N401"/>
  <c r="N402"/>
  <c r="N403"/>
  <c r="N574"/>
  <c r="N404"/>
  <c r="N407"/>
  <c r="N408"/>
  <c r="N406"/>
  <c r="L112"/>
  <c r="M112"/>
  <c r="N112"/>
  <c r="K112"/>
  <c r="D194" i="4"/>
  <c r="G70"/>
  <c r="D114"/>
  <c r="J194" l="1"/>
  <c r="J70"/>
  <c r="J114"/>
  <c r="J112" s="1"/>
  <c r="J102" s="1"/>
  <c r="H194"/>
  <c r="I70"/>
  <c r="H114"/>
  <c r="I114"/>
  <c r="H70"/>
  <c r="I194"/>
  <c r="G114"/>
  <c r="G194"/>
  <c r="D233" l="1"/>
  <c r="D219"/>
  <c r="H464" i="7"/>
  <c r="G78" i="16"/>
  <c r="H78"/>
  <c r="I78"/>
  <c r="J78"/>
  <c r="G84"/>
  <c r="H84"/>
  <c r="I84"/>
  <c r="J84"/>
  <c r="G88"/>
  <c r="H88"/>
  <c r="I88"/>
  <c r="J88"/>
  <c r="J66"/>
  <c r="I66"/>
  <c r="H66"/>
  <c r="G66"/>
  <c r="J65"/>
  <c r="I65"/>
  <c r="H65"/>
  <c r="G65"/>
  <c r="G51"/>
  <c r="H51"/>
  <c r="I51"/>
  <c r="J51"/>
  <c r="G56"/>
  <c r="H56"/>
  <c r="I56"/>
  <c r="J56"/>
  <c r="H49"/>
  <c r="H45"/>
  <c r="I45"/>
  <c r="J45"/>
  <c r="G45"/>
  <c r="J41"/>
  <c r="I41"/>
  <c r="I39" s="1"/>
  <c r="H41"/>
  <c r="G41"/>
  <c r="G39"/>
  <c r="J35"/>
  <c r="I35"/>
  <c r="H35"/>
  <c r="G35"/>
  <c r="J31"/>
  <c r="I31"/>
  <c r="H31"/>
  <c r="G31"/>
  <c r="J29"/>
  <c r="I29"/>
  <c r="H29"/>
  <c r="G29"/>
  <c r="G27"/>
  <c r="J23"/>
  <c r="I23"/>
  <c r="H23"/>
  <c r="G23"/>
  <c r="G21"/>
  <c r="D91"/>
  <c r="D90"/>
  <c r="D88" s="1"/>
  <c r="F88"/>
  <c r="E88"/>
  <c r="D87"/>
  <c r="D86"/>
  <c r="D84" s="1"/>
  <c r="D82" s="1"/>
  <c r="F84"/>
  <c r="F82"/>
  <c r="E82"/>
  <c r="D81"/>
  <c r="D80"/>
  <c r="F78"/>
  <c r="F76" s="1"/>
  <c r="F74" s="1"/>
  <c r="E76"/>
  <c r="E74" s="1"/>
  <c r="D73"/>
  <c r="D72"/>
  <c r="D71"/>
  <c r="D69"/>
  <c r="D68"/>
  <c r="F66"/>
  <c r="F60" s="1"/>
  <c r="E66"/>
  <c r="E65"/>
  <c r="E60" s="1"/>
  <c r="D64"/>
  <c r="D62"/>
  <c r="D59"/>
  <c r="D58"/>
  <c r="F56"/>
  <c r="E56"/>
  <c r="D55"/>
  <c r="D51" s="1"/>
  <c r="D54"/>
  <c r="F51"/>
  <c r="D48"/>
  <c r="D47"/>
  <c r="F45"/>
  <c r="E45"/>
  <c r="D44"/>
  <c r="D43"/>
  <c r="D41" s="1"/>
  <c r="F41"/>
  <c r="F39" s="1"/>
  <c r="E41"/>
  <c r="E39" s="1"/>
  <c r="E27" s="1"/>
  <c r="E21" s="1"/>
  <c r="D38"/>
  <c r="D37"/>
  <c r="F35"/>
  <c r="D34"/>
  <c r="D33"/>
  <c r="F31"/>
  <c r="D31"/>
  <c r="D26"/>
  <c r="D25"/>
  <c r="D23" s="1"/>
  <c r="F23"/>
  <c r="E58" i="9"/>
  <c r="H21" i="7"/>
  <c r="H753"/>
  <c r="H752"/>
  <c r="M752" s="1"/>
  <c r="H751"/>
  <c r="H743"/>
  <c r="H732"/>
  <c r="H726"/>
  <c r="H644"/>
  <c r="H635"/>
  <c r="H617"/>
  <c r="H595"/>
  <c r="H594"/>
  <c r="H593"/>
  <c r="H592"/>
  <c r="H572"/>
  <c r="H573"/>
  <c r="H567"/>
  <c r="H566"/>
  <c r="H562"/>
  <c r="H561"/>
  <c r="H560"/>
  <c r="H554"/>
  <c r="H553"/>
  <c r="H552"/>
  <c r="H551"/>
  <c r="H550"/>
  <c r="H549"/>
  <c r="H548"/>
  <c r="H547"/>
  <c r="H465"/>
  <c r="H461"/>
  <c r="H459"/>
  <c r="H458"/>
  <c r="H457"/>
  <c r="H456"/>
  <c r="H455"/>
  <c r="H454"/>
  <c r="H452"/>
  <c r="H451"/>
  <c r="H400"/>
  <c r="H371"/>
  <c r="H370"/>
  <c r="H369"/>
  <c r="H368"/>
  <c r="H367"/>
  <c r="H366"/>
  <c r="H365"/>
  <c r="H363"/>
  <c r="H362"/>
  <c r="H361"/>
  <c r="H364"/>
  <c r="H360"/>
  <c r="H288"/>
  <c r="H287"/>
  <c r="H286"/>
  <c r="D186" i="4" s="1"/>
  <c r="H285" i="7"/>
  <c r="H283"/>
  <c r="H160"/>
  <c r="H159"/>
  <c r="H158"/>
  <c r="H162"/>
  <c r="H106"/>
  <c r="H105"/>
  <c r="H109"/>
  <c r="H99"/>
  <c r="H98"/>
  <c r="K68"/>
  <c r="L68"/>
  <c r="M68"/>
  <c r="E26" i="4"/>
  <c r="E53"/>
  <c r="D46" i="9"/>
  <c r="D45"/>
  <c r="H564" i="7" l="1"/>
  <c r="D65" i="4"/>
  <c r="L549" i="7"/>
  <c r="K549"/>
  <c r="M400"/>
  <c r="K400"/>
  <c r="L400"/>
  <c r="K567"/>
  <c r="K564" s="1"/>
  <c r="L567"/>
  <c r="L564" s="1"/>
  <c r="M567"/>
  <c r="M564" s="1"/>
  <c r="D145" i="4"/>
  <c r="D65" i="16"/>
  <c r="D154" i="4"/>
  <c r="N39" i="7"/>
  <c r="N364"/>
  <c r="N561"/>
  <c r="N40"/>
  <c r="N283"/>
  <c r="N560"/>
  <c r="N41"/>
  <c r="N35"/>
  <c r="N29"/>
  <c r="N288"/>
  <c r="N365"/>
  <c r="N371"/>
  <c r="N451"/>
  <c r="N457"/>
  <c r="N573"/>
  <c r="N743"/>
  <c r="K743"/>
  <c r="L743"/>
  <c r="M743"/>
  <c r="M98"/>
  <c r="K98"/>
  <c r="L98"/>
  <c r="N98"/>
  <c r="L592"/>
  <c r="H65" i="4" s="1"/>
  <c r="M592" i="7"/>
  <c r="I65" i="4" s="1"/>
  <c r="N592" i="7"/>
  <c r="K592"/>
  <c r="G65" i="4" s="1"/>
  <c r="N34" i="7"/>
  <c r="N360"/>
  <c r="N452"/>
  <c r="K751"/>
  <c r="N751"/>
  <c r="N36"/>
  <c r="N30"/>
  <c r="G40" i="4"/>
  <c r="H40"/>
  <c r="I40"/>
  <c r="J40"/>
  <c r="K159" i="7"/>
  <c r="L159"/>
  <c r="M159"/>
  <c r="N159"/>
  <c r="N287"/>
  <c r="N363"/>
  <c r="N370"/>
  <c r="N456"/>
  <c r="N553"/>
  <c r="N567"/>
  <c r="L595"/>
  <c r="H186" i="4" s="1"/>
  <c r="M595" i="7"/>
  <c r="I186" i="4" s="1"/>
  <c r="N595" i="7"/>
  <c r="K595"/>
  <c r="G186" i="4" s="1"/>
  <c r="N732" i="7"/>
  <c r="N33"/>
  <c r="N367"/>
  <c r="N752"/>
  <c r="L22"/>
  <c r="M22"/>
  <c r="N22"/>
  <c r="N400"/>
  <c r="N572"/>
  <c r="N37"/>
  <c r="N31"/>
  <c r="N158"/>
  <c r="K158"/>
  <c r="L158"/>
  <c r="M158"/>
  <c r="N286"/>
  <c r="N362"/>
  <c r="N369"/>
  <c r="N455"/>
  <c r="N465"/>
  <c r="N566"/>
  <c r="K594"/>
  <c r="L594"/>
  <c r="N594"/>
  <c r="N726"/>
  <c r="N21"/>
  <c r="N27"/>
  <c r="N28"/>
  <c r="N366"/>
  <c r="N635"/>
  <c r="L99"/>
  <c r="M99"/>
  <c r="N99"/>
  <c r="K99"/>
  <c r="N38"/>
  <c r="N32"/>
  <c r="L162"/>
  <c r="M162"/>
  <c r="N162"/>
  <c r="K162"/>
  <c r="N361"/>
  <c r="N368"/>
  <c r="N454"/>
  <c r="N562"/>
  <c r="N593"/>
  <c r="K593"/>
  <c r="L593"/>
  <c r="M593"/>
  <c r="N753"/>
  <c r="K753"/>
  <c r="L753"/>
  <c r="M753"/>
  <c r="N694"/>
  <c r="N693" s="1"/>
  <c r="N691" s="1"/>
  <c r="N644"/>
  <c r="N551"/>
  <c r="N550"/>
  <c r="N554"/>
  <c r="N552"/>
  <c r="N549"/>
  <c r="N548"/>
  <c r="N547"/>
  <c r="N464"/>
  <c r="D191" i="4"/>
  <c r="N458" i="7"/>
  <c r="N461"/>
  <c r="K617"/>
  <c r="L617"/>
  <c r="N617"/>
  <c r="N459"/>
  <c r="J219" i="4"/>
  <c r="G233"/>
  <c r="J233"/>
  <c r="N285" i="7"/>
  <c r="N109"/>
  <c r="N106"/>
  <c r="K105"/>
  <c r="L105"/>
  <c r="M105"/>
  <c r="N105"/>
  <c r="H103"/>
  <c r="G46" i="9"/>
  <c r="H46"/>
  <c r="I46"/>
  <c r="J46"/>
  <c r="G45"/>
  <c r="H45"/>
  <c r="I45"/>
  <c r="J45"/>
  <c r="H398" i="7"/>
  <c r="D197" i="4"/>
  <c r="H20" i="7"/>
  <c r="D44" i="4"/>
  <c r="D189"/>
  <c r="D190"/>
  <c r="D143"/>
  <c r="H570" i="7"/>
  <c r="D53" i="4"/>
  <c r="D66" i="16"/>
  <c r="F49"/>
  <c r="I27"/>
  <c r="I21" s="1"/>
  <c r="J39"/>
  <c r="J27" s="1"/>
  <c r="J21" s="1"/>
  <c r="H39"/>
  <c r="H27" s="1"/>
  <c r="H21" s="1"/>
  <c r="F29"/>
  <c r="F27" s="1"/>
  <c r="H19"/>
  <c r="J49"/>
  <c r="J19" s="1"/>
  <c r="G82"/>
  <c r="G76" s="1"/>
  <c r="G74" s="1"/>
  <c r="G17" s="1"/>
  <c r="D45"/>
  <c r="D56"/>
  <c r="D78"/>
  <c r="D76" s="1"/>
  <c r="D74" s="1"/>
  <c r="I49"/>
  <c r="I19" s="1"/>
  <c r="H82"/>
  <c r="H76" s="1"/>
  <c r="H74" s="1"/>
  <c r="D35"/>
  <c r="I82"/>
  <c r="I76" s="1"/>
  <c r="I74" s="1"/>
  <c r="G49"/>
  <c r="G19" s="1"/>
  <c r="J82"/>
  <c r="J76" s="1"/>
  <c r="J74" s="1"/>
  <c r="E49"/>
  <c r="E19" s="1"/>
  <c r="E17" s="1"/>
  <c r="D60"/>
  <c r="D49" s="1"/>
  <c r="F21"/>
  <c r="D29"/>
  <c r="D39"/>
  <c r="D26" i="4"/>
  <c r="N564" i="7" l="1"/>
  <c r="J186" i="4"/>
  <c r="J65"/>
  <c r="J100"/>
  <c r="J98" s="1"/>
  <c r="J44"/>
  <c r="H26"/>
  <c r="J143"/>
  <c r="I26"/>
  <c r="J58"/>
  <c r="J82"/>
  <c r="J79" s="1"/>
  <c r="J77" s="1"/>
  <c r="J191"/>
  <c r="J55"/>
  <c r="J26"/>
  <c r="J144"/>
  <c r="N398" i="7"/>
  <c r="J189" i="4"/>
  <c r="J53"/>
  <c r="H58"/>
  <c r="H189"/>
  <c r="I100"/>
  <c r="M398" i="7"/>
  <c r="H55" i="4"/>
  <c r="H144"/>
  <c r="H100"/>
  <c r="H143"/>
  <c r="I55"/>
  <c r="H53"/>
  <c r="I144"/>
  <c r="I189"/>
  <c r="I82"/>
  <c r="I44"/>
  <c r="H82"/>
  <c r="I53"/>
  <c r="L398" i="7"/>
  <c r="I191" i="4"/>
  <c r="I143"/>
  <c r="H44"/>
  <c r="I58"/>
  <c r="H17" i="16"/>
  <c r="J17"/>
  <c r="G144" i="4"/>
  <c r="G100"/>
  <c r="G143"/>
  <c r="G44"/>
  <c r="G53"/>
  <c r="G82"/>
  <c r="K398" i="7"/>
  <c r="G189" i="4"/>
  <c r="G55"/>
  <c r="G26"/>
  <c r="G58"/>
  <c r="G191"/>
  <c r="J145"/>
  <c r="I145"/>
  <c r="G145"/>
  <c r="H145"/>
  <c r="H191"/>
  <c r="N103" i="7"/>
  <c r="M103"/>
  <c r="I154" i="4"/>
  <c r="I151" s="1"/>
  <c r="J154"/>
  <c r="J151" s="1"/>
  <c r="G154"/>
  <c r="G151" s="1"/>
  <c r="H154"/>
  <c r="H151" s="1"/>
  <c r="L103" i="7"/>
  <c r="K103"/>
  <c r="J48" i="4"/>
  <c r="H197"/>
  <c r="H192" s="1"/>
  <c r="N20" i="7"/>
  <c r="G197" i="4"/>
  <c r="G192" s="1"/>
  <c r="K20" i="7"/>
  <c r="K18" s="1"/>
  <c r="J190" i="4"/>
  <c r="J197"/>
  <c r="J192" s="1"/>
  <c r="L20" i="7"/>
  <c r="I197" i="4"/>
  <c r="I192" s="1"/>
  <c r="M20" i="7"/>
  <c r="J173" i="4"/>
  <c r="J171" s="1"/>
  <c r="H96"/>
  <c r="K570" i="7"/>
  <c r="H48" i="4"/>
  <c r="G190"/>
  <c r="H190"/>
  <c r="N570" i="7"/>
  <c r="G173" i="4"/>
  <c r="G171" s="1"/>
  <c r="G96"/>
  <c r="I190"/>
  <c r="J62"/>
  <c r="J60" s="1"/>
  <c r="J185"/>
  <c r="I158"/>
  <c r="I155" s="1"/>
  <c r="M570" i="7"/>
  <c r="I42" i="4"/>
  <c r="G48"/>
  <c r="H173"/>
  <c r="H171" s="1"/>
  <c r="J96"/>
  <c r="J94" s="1"/>
  <c r="I96"/>
  <c r="J42"/>
  <c r="G62"/>
  <c r="G60" s="1"/>
  <c r="I185"/>
  <c r="G66"/>
  <c r="H158"/>
  <c r="H155" s="1"/>
  <c r="H76"/>
  <c r="I66"/>
  <c r="J76"/>
  <c r="G42"/>
  <c r="L570" i="7"/>
  <c r="H42" i="4"/>
  <c r="I48"/>
  <c r="I173"/>
  <c r="I171" s="1"/>
  <c r="H62"/>
  <c r="H60" s="1"/>
  <c r="G185"/>
  <c r="H66"/>
  <c r="J158"/>
  <c r="J155" s="1"/>
  <c r="I76"/>
  <c r="I62"/>
  <c r="I60" s="1"/>
  <c r="H185"/>
  <c r="J66"/>
  <c r="G158"/>
  <c r="G155" s="1"/>
  <c r="G76"/>
  <c r="F19" i="16"/>
  <c r="F17" s="1"/>
  <c r="D17" s="1"/>
  <c r="I17"/>
  <c r="D27"/>
  <c r="D21" s="1"/>
  <c r="D19" s="1"/>
  <c r="J92" i="4" l="1"/>
  <c r="L269" i="3"/>
  <c r="M18" i="7"/>
  <c r="L18"/>
  <c r="L271" i="3"/>
  <c r="N18" i="7"/>
  <c r="J140" i="4"/>
  <c r="J134" s="1"/>
  <c r="I140"/>
  <c r="H140"/>
  <c r="G140"/>
  <c r="J269" i="3"/>
  <c r="J271"/>
  <c r="K269"/>
  <c r="K271"/>
  <c r="I269"/>
  <c r="I271"/>
  <c r="J182" i="4"/>
  <c r="H187"/>
  <c r="J187"/>
  <c r="G63"/>
  <c r="G187"/>
  <c r="H63"/>
  <c r="J63"/>
  <c r="I187"/>
  <c r="I182"/>
  <c r="I63"/>
  <c r="H182"/>
  <c r="J180" l="1"/>
  <c r="J178" s="1"/>
  <c r="H180"/>
  <c r="H178" s="1"/>
  <c r="I180"/>
  <c r="I178" s="1"/>
  <c r="J616" i="7" l="1"/>
  <c r="J611" s="1"/>
  <c r="H236" i="3" s="1"/>
  <c r="K616" i="7"/>
  <c r="L616"/>
  <c r="M616"/>
  <c r="H616"/>
  <c r="M741"/>
  <c r="L741"/>
  <c r="K741"/>
  <c r="L611" l="1"/>
  <c r="M611"/>
  <c r="K611"/>
  <c r="H611"/>
  <c r="J101"/>
  <c r="I41" i="3"/>
  <c r="J41"/>
  <c r="M101" i="7"/>
  <c r="D20" i="9"/>
  <c r="D21"/>
  <c r="N616" i="7"/>
  <c r="F73" i="9"/>
  <c r="F292" i="3"/>
  <c r="F290" s="1"/>
  <c r="H292"/>
  <c r="H290" s="1"/>
  <c r="N764" i="7"/>
  <c r="N765"/>
  <c r="N766"/>
  <c r="N767"/>
  <c r="N768"/>
  <c r="N769"/>
  <c r="N770"/>
  <c r="I764"/>
  <c r="I765"/>
  <c r="I766"/>
  <c r="I767"/>
  <c r="I768"/>
  <c r="I769"/>
  <c r="I770"/>
  <c r="I763"/>
  <c r="L763" s="1"/>
  <c r="E144" i="4"/>
  <c r="G292" i="3"/>
  <c r="G290" s="1"/>
  <c r="G289"/>
  <c r="G287" s="1"/>
  <c r="N724" i="7"/>
  <c r="N643"/>
  <c r="I643"/>
  <c r="I636"/>
  <c r="I637"/>
  <c r="E143" i="4" s="1"/>
  <c r="I638" i="7"/>
  <c r="E145" i="4" s="1"/>
  <c r="F207"/>
  <c r="F192"/>
  <c r="E70"/>
  <c r="E82"/>
  <c r="E79" s="1"/>
  <c r="N68" i="7"/>
  <c r="I81"/>
  <c r="I82"/>
  <c r="I83"/>
  <c r="I84"/>
  <c r="I85"/>
  <c r="I86"/>
  <c r="I87"/>
  <c r="I80"/>
  <c r="E55" i="4"/>
  <c r="E58"/>
  <c r="J730" i="7"/>
  <c r="J728" s="1"/>
  <c r="K730"/>
  <c r="L730"/>
  <c r="M730"/>
  <c r="H730"/>
  <c r="J545"/>
  <c r="H239" i="3"/>
  <c r="J632" i="7"/>
  <c r="J631" s="1"/>
  <c r="J643"/>
  <c r="H251" i="3" s="1"/>
  <c r="H249" s="1"/>
  <c r="J724" i="7"/>
  <c r="J748"/>
  <c r="M643"/>
  <c r="K643"/>
  <c r="J78"/>
  <c r="J68" s="1"/>
  <c r="J156"/>
  <c r="M156"/>
  <c r="I348"/>
  <c r="J226" i="3"/>
  <c r="K239"/>
  <c r="L724" i="7"/>
  <c r="J761"/>
  <c r="J759" s="1"/>
  <c r="K764"/>
  <c r="K768"/>
  <c r="L769"/>
  <c r="D72" i="4"/>
  <c r="E28"/>
  <c r="D30"/>
  <c r="D28" s="1"/>
  <c r="E31"/>
  <c r="D33"/>
  <c r="D31" s="1"/>
  <c r="E83"/>
  <c r="E87"/>
  <c r="D87"/>
  <c r="E104"/>
  <c r="E108"/>
  <c r="E118"/>
  <c r="E112" s="1"/>
  <c r="D120"/>
  <c r="D118" s="1"/>
  <c r="D121"/>
  <c r="D122"/>
  <c r="E129"/>
  <c r="E123" s="1"/>
  <c r="D131"/>
  <c r="D129" s="1"/>
  <c r="D132"/>
  <c r="D133"/>
  <c r="E136"/>
  <c r="E146"/>
  <c r="F158"/>
  <c r="E161"/>
  <c r="E164"/>
  <c r="E168"/>
  <c r="D170"/>
  <c r="D174"/>
  <c r="D177"/>
  <c r="J177" s="1"/>
  <c r="F198"/>
  <c r="F204"/>
  <c r="F217"/>
  <c r="F215" s="1"/>
  <c r="G217"/>
  <c r="G215" s="1"/>
  <c r="H217"/>
  <c r="I217"/>
  <c r="I215" s="1"/>
  <c r="J217"/>
  <c r="D218"/>
  <c r="D222"/>
  <c r="F223"/>
  <c r="F220" s="1"/>
  <c r="D225"/>
  <c r="G225" s="1"/>
  <c r="D226"/>
  <c r="J226" s="1"/>
  <c r="D227"/>
  <c r="F228"/>
  <c r="D230"/>
  <c r="H230" s="1"/>
  <c r="H228" s="1"/>
  <c r="F231"/>
  <c r="D234"/>
  <c r="G234" s="1"/>
  <c r="D235"/>
  <c r="J235" s="1"/>
  <c r="D236"/>
  <c r="F22" i="3"/>
  <c r="F23"/>
  <c r="G24"/>
  <c r="H24"/>
  <c r="F26"/>
  <c r="F27"/>
  <c r="F30"/>
  <c r="F31"/>
  <c r="G33"/>
  <c r="F35"/>
  <c r="F33" s="1"/>
  <c r="G42"/>
  <c r="H42"/>
  <c r="F44"/>
  <c r="F42" s="1"/>
  <c r="G47"/>
  <c r="G45" s="1"/>
  <c r="H47"/>
  <c r="H45"/>
  <c r="F49"/>
  <c r="F50"/>
  <c r="G54"/>
  <c r="H54"/>
  <c r="F56"/>
  <c r="F54"/>
  <c r="G57"/>
  <c r="H57"/>
  <c r="F59"/>
  <c r="F57" s="1"/>
  <c r="G60"/>
  <c r="H60"/>
  <c r="F62"/>
  <c r="F60" s="1"/>
  <c r="G63"/>
  <c r="H63"/>
  <c r="F65"/>
  <c r="F63"/>
  <c r="G71"/>
  <c r="H71"/>
  <c r="F73"/>
  <c r="F74"/>
  <c r="F75"/>
  <c r="G76"/>
  <c r="H76"/>
  <c r="F78"/>
  <c r="F76" s="1"/>
  <c r="G79"/>
  <c r="H79"/>
  <c r="F81"/>
  <c r="F82"/>
  <c r="F79" s="1"/>
  <c r="G83"/>
  <c r="H83"/>
  <c r="F85"/>
  <c r="F83" s="1"/>
  <c r="G86"/>
  <c r="H86"/>
  <c r="F88"/>
  <c r="F86" s="1"/>
  <c r="G89"/>
  <c r="H89"/>
  <c r="F91"/>
  <c r="F89" s="1"/>
  <c r="G92"/>
  <c r="H92"/>
  <c r="F94"/>
  <c r="F92" s="1"/>
  <c r="G97"/>
  <c r="H97"/>
  <c r="F99"/>
  <c r="F100"/>
  <c r="G101"/>
  <c r="H101"/>
  <c r="F103"/>
  <c r="F104"/>
  <c r="F105"/>
  <c r="F106"/>
  <c r="G107"/>
  <c r="H107"/>
  <c r="F109"/>
  <c r="F110"/>
  <c r="F111"/>
  <c r="F112"/>
  <c r="F113"/>
  <c r="F114"/>
  <c r="G115"/>
  <c r="H115"/>
  <c r="F117"/>
  <c r="F118"/>
  <c r="F119"/>
  <c r="F123"/>
  <c r="F124"/>
  <c r="F125"/>
  <c r="F126"/>
  <c r="G127"/>
  <c r="H127"/>
  <c r="F129"/>
  <c r="F127"/>
  <c r="G130"/>
  <c r="H130"/>
  <c r="F132"/>
  <c r="F133"/>
  <c r="F134"/>
  <c r="F135"/>
  <c r="G136"/>
  <c r="H136"/>
  <c r="F138"/>
  <c r="F139"/>
  <c r="F136" s="1"/>
  <c r="F140"/>
  <c r="F141"/>
  <c r="F142"/>
  <c r="F143"/>
  <c r="F144"/>
  <c r="G153"/>
  <c r="H153"/>
  <c r="F155"/>
  <c r="F153" s="1"/>
  <c r="G156"/>
  <c r="H156"/>
  <c r="F158"/>
  <c r="F156" s="1"/>
  <c r="G159"/>
  <c r="H159"/>
  <c r="F161"/>
  <c r="F159" s="1"/>
  <c r="G162"/>
  <c r="H162"/>
  <c r="F164"/>
  <c r="F162" s="1"/>
  <c r="G170"/>
  <c r="H170"/>
  <c r="F172"/>
  <c r="F170" s="1"/>
  <c r="G173"/>
  <c r="H173"/>
  <c r="F175"/>
  <c r="F173" s="1"/>
  <c r="G176"/>
  <c r="H176"/>
  <c r="F178"/>
  <c r="F176" s="1"/>
  <c r="G182"/>
  <c r="H182"/>
  <c r="F184"/>
  <c r="F182"/>
  <c r="G190"/>
  <c r="H190"/>
  <c r="F192"/>
  <c r="F190" s="1"/>
  <c r="F193"/>
  <c r="F194"/>
  <c r="G195"/>
  <c r="H195"/>
  <c r="F197"/>
  <c r="F198"/>
  <c r="F199"/>
  <c r="F200"/>
  <c r="G201"/>
  <c r="H201"/>
  <c r="F203"/>
  <c r="F204"/>
  <c r="F205"/>
  <c r="F206"/>
  <c r="G207"/>
  <c r="H207"/>
  <c r="F209"/>
  <c r="F207" s="1"/>
  <c r="G210"/>
  <c r="H210"/>
  <c r="F212"/>
  <c r="F210" s="1"/>
  <c r="G213"/>
  <c r="H213"/>
  <c r="F215"/>
  <c r="F216"/>
  <c r="F227"/>
  <c r="F228"/>
  <c r="F229"/>
  <c r="G231"/>
  <c r="H231"/>
  <c r="F233"/>
  <c r="F234"/>
  <c r="F235"/>
  <c r="F240"/>
  <c r="G241"/>
  <c r="H241"/>
  <c r="F243"/>
  <c r="F241" s="1"/>
  <c r="H244"/>
  <c r="F252"/>
  <c r="G253"/>
  <c r="H253"/>
  <c r="F255"/>
  <c r="F256"/>
  <c r="G257"/>
  <c r="H257"/>
  <c r="F259"/>
  <c r="F257" s="1"/>
  <c r="F260"/>
  <c r="G261"/>
  <c r="H261"/>
  <c r="F263"/>
  <c r="F264"/>
  <c r="G265"/>
  <c r="H265"/>
  <c r="F267"/>
  <c r="F265" s="1"/>
  <c r="F268"/>
  <c r="G272"/>
  <c r="H272"/>
  <c r="F274"/>
  <c r="F272" s="1"/>
  <c r="G275"/>
  <c r="H275"/>
  <c r="F277"/>
  <c r="F275" s="1"/>
  <c r="G280"/>
  <c r="H280"/>
  <c r="F282"/>
  <c r="F280" s="1"/>
  <c r="F283"/>
  <c r="G284"/>
  <c r="H284"/>
  <c r="F286"/>
  <c r="F284" s="1"/>
  <c r="H287"/>
  <c r="G293"/>
  <c r="H293"/>
  <c r="F295"/>
  <c r="F293" s="1"/>
  <c r="G302"/>
  <c r="H302"/>
  <c r="F304"/>
  <c r="F302" s="1"/>
  <c r="E18" i="9"/>
  <c r="D19"/>
  <c r="E22"/>
  <c r="D23"/>
  <c r="D22" s="1"/>
  <c r="E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E48"/>
  <c r="E47" s="1"/>
  <c r="D49"/>
  <c r="D50"/>
  <c r="E52"/>
  <c r="E51" s="1"/>
  <c r="D53"/>
  <c r="D54"/>
  <c r="D55"/>
  <c r="D56"/>
  <c r="D59"/>
  <c r="F60"/>
  <c r="D61"/>
  <c r="E62"/>
  <c r="D63"/>
  <c r="F64"/>
  <c r="D65"/>
  <c r="D67"/>
  <c r="E68"/>
  <c r="E66" s="1"/>
  <c r="D69"/>
  <c r="D70"/>
  <c r="D71"/>
  <c r="D72"/>
  <c r="D74"/>
  <c r="D75"/>
  <c r="F77"/>
  <c r="D78"/>
  <c r="E79"/>
  <c r="D80"/>
  <c r="E81"/>
  <c r="D82"/>
  <c r="D83"/>
  <c r="D84"/>
  <c r="D85"/>
  <c r="E86"/>
  <c r="D87"/>
  <c r="D88"/>
  <c r="D89"/>
  <c r="D93"/>
  <c r="D94"/>
  <c r="D95"/>
  <c r="D96"/>
  <c r="D97"/>
  <c r="D98"/>
  <c r="E99"/>
  <c r="E91" s="1"/>
  <c r="E90" s="1"/>
  <c r="D100"/>
  <c r="D101"/>
  <c r="D102"/>
  <c r="D103"/>
  <c r="D104"/>
  <c r="D105"/>
  <c r="D106"/>
  <c r="D107"/>
  <c r="D108"/>
  <c r="D110"/>
  <c r="D111"/>
  <c r="D112"/>
  <c r="D113"/>
  <c r="D114"/>
  <c r="D115"/>
  <c r="E116"/>
  <c r="D117"/>
  <c r="D118"/>
  <c r="E119"/>
  <c r="D120"/>
  <c r="D121"/>
  <c r="F122"/>
  <c r="D123"/>
  <c r="D124"/>
  <c r="E125"/>
  <c r="D126"/>
  <c r="L643" i="7"/>
  <c r="M739"/>
  <c r="I239" i="3"/>
  <c r="D82" i="4"/>
  <c r="D70"/>
  <c r="D144"/>
  <c r="L156" i="7"/>
  <c r="D136" i="4"/>
  <c r="D62"/>
  <c r="D66"/>
  <c r="H96" i="7"/>
  <c r="F226" i="3"/>
  <c r="H281" i="7"/>
  <c r="D185" i="4"/>
  <c r="D42"/>
  <c r="D158"/>
  <c r="D161"/>
  <c r="H589" i="7"/>
  <c r="M589"/>
  <c r="D96" i="4"/>
  <c r="D58"/>
  <c r="J290" i="3"/>
  <c r="J292"/>
  <c r="H396" i="7"/>
  <c r="J289" i="3"/>
  <c r="J287" s="1"/>
  <c r="H78" i="7"/>
  <c r="H748"/>
  <c r="H643"/>
  <c r="D40" i="4"/>
  <c r="M724" i="7"/>
  <c r="K724"/>
  <c r="F289" i="3"/>
  <c r="F287" s="1"/>
  <c r="H724" i="7"/>
  <c r="H632"/>
  <c r="D48" i="4"/>
  <c r="H545" i="7"/>
  <c r="D55" i="4"/>
  <c r="J298" i="3"/>
  <c r="J296" s="1"/>
  <c r="H433" i="7"/>
  <c r="L632"/>
  <c r="M545"/>
  <c r="K748"/>
  <c r="K558"/>
  <c r="M632"/>
  <c r="K545"/>
  <c r="M558"/>
  <c r="L558"/>
  <c r="K589"/>
  <c r="K226" i="3"/>
  <c r="L545" i="7"/>
  <c r="M748"/>
  <c r="K632"/>
  <c r="I298" i="3"/>
  <c r="I296" s="1"/>
  <c r="I226"/>
  <c r="L589" i="7"/>
  <c r="L748"/>
  <c r="K290" i="3"/>
  <c r="K292"/>
  <c r="K433" i="7"/>
  <c r="K358"/>
  <c r="M433"/>
  <c r="L433"/>
  <c r="L281"/>
  <c r="L358"/>
  <c r="I290" i="3"/>
  <c r="I292"/>
  <c r="M358" i="7"/>
  <c r="K78"/>
  <c r="M96"/>
  <c r="K156"/>
  <c r="K289" i="3"/>
  <c r="K287" s="1"/>
  <c r="M281" i="7"/>
  <c r="L78"/>
  <c r="J167" i="3"/>
  <c r="J165" s="1"/>
  <c r="K396" i="7"/>
  <c r="L96"/>
  <c r="D76" i="4"/>
  <c r="I289" i="3"/>
  <c r="I287" s="1"/>
  <c r="K167"/>
  <c r="K165" s="1"/>
  <c r="K96" i="7"/>
  <c r="M78"/>
  <c r="L765"/>
  <c r="M765"/>
  <c r="D41" i="4"/>
  <c r="D47"/>
  <c r="D39"/>
  <c r="D43"/>
  <c r="M767" i="7"/>
  <c r="K767"/>
  <c r="M768"/>
  <c r="M764"/>
  <c r="M770"/>
  <c r="L767"/>
  <c r="L764"/>
  <c r="K770"/>
  <c r="L770"/>
  <c r="L768"/>
  <c r="L766"/>
  <c r="K765"/>
  <c r="K769"/>
  <c r="D69" i="4"/>
  <c r="M769" i="7"/>
  <c r="K766"/>
  <c r="M766"/>
  <c r="K21" i="3"/>
  <c r="I21"/>
  <c r="N763" i="7"/>
  <c r="D25" i="4"/>
  <c r="H761" i="7"/>
  <c r="L739"/>
  <c r="J239" i="3"/>
  <c r="K298"/>
  <c r="K296" s="1"/>
  <c r="K739" i="7"/>
  <c r="L290" i="3"/>
  <c r="D204" i="4"/>
  <c r="D83"/>
  <c r="I236"/>
  <c r="I222"/>
  <c r="D146"/>
  <c r="E154" l="1"/>
  <c r="E151" s="1"/>
  <c r="I632" i="7"/>
  <c r="I631" s="1"/>
  <c r="G96" i="9"/>
  <c r="H96"/>
  <c r="I96"/>
  <c r="I110"/>
  <c r="G110"/>
  <c r="H110"/>
  <c r="G97"/>
  <c r="H97"/>
  <c r="I97"/>
  <c r="I117"/>
  <c r="G117"/>
  <c r="H117"/>
  <c r="G111"/>
  <c r="H111"/>
  <c r="I111"/>
  <c r="G98"/>
  <c r="H98"/>
  <c r="I98"/>
  <c r="G83"/>
  <c r="H83"/>
  <c r="I83"/>
  <c r="G93"/>
  <c r="H93"/>
  <c r="I93"/>
  <c r="G84"/>
  <c r="H84"/>
  <c r="I84"/>
  <c r="G94"/>
  <c r="H94"/>
  <c r="I94"/>
  <c r="G108"/>
  <c r="H108"/>
  <c r="G69" i="3"/>
  <c r="H188"/>
  <c r="H69"/>
  <c r="F101"/>
  <c r="F24"/>
  <c r="F115"/>
  <c r="F47"/>
  <c r="F45" s="1"/>
  <c r="F97"/>
  <c r="F253"/>
  <c r="D18" i="9"/>
  <c r="I100"/>
  <c r="G100"/>
  <c r="H100"/>
  <c r="I101"/>
  <c r="G101"/>
  <c r="H101"/>
  <c r="G102"/>
  <c r="I102"/>
  <c r="H102"/>
  <c r="I85"/>
  <c r="G85"/>
  <c r="H85"/>
  <c r="G21"/>
  <c r="I21"/>
  <c r="I82"/>
  <c r="G82"/>
  <c r="H82"/>
  <c r="J43" i="4"/>
  <c r="J69"/>
  <c r="J25"/>
  <c r="J23" s="1"/>
  <c r="J21" s="1"/>
  <c r="J47"/>
  <c r="J45" s="1"/>
  <c r="J41"/>
  <c r="N611" i="7"/>
  <c r="J72" i="4"/>
  <c r="J39"/>
  <c r="I43"/>
  <c r="J224" i="3"/>
  <c r="K230"/>
  <c r="J225"/>
  <c r="H72" i="4"/>
  <c r="M431" i="7"/>
  <c r="J236" i="3"/>
  <c r="H69" i="4"/>
  <c r="I39"/>
  <c r="L431" i="7"/>
  <c r="J301" i="3"/>
  <c r="J299" s="1"/>
  <c r="J221"/>
  <c r="J219" s="1"/>
  <c r="M631" i="7"/>
  <c r="K225" i="3"/>
  <c r="H25" i="4"/>
  <c r="M279" i="7"/>
  <c r="K152" i="3"/>
  <c r="K150" s="1"/>
  <c r="K148" s="1"/>
  <c r="M154" i="7"/>
  <c r="I72" i="4"/>
  <c r="M94" i="7"/>
  <c r="L279"/>
  <c r="M746"/>
  <c r="J68" i="3"/>
  <c r="J66" s="1"/>
  <c r="J52" s="1"/>
  <c r="K251"/>
  <c r="K249" s="1"/>
  <c r="K247" s="1"/>
  <c r="K236"/>
  <c r="H39" i="4"/>
  <c r="H41"/>
  <c r="M543" i="7"/>
  <c r="H47" i="4"/>
  <c r="L728" i="7"/>
  <c r="K39" i="3"/>
  <c r="I41" i="4"/>
  <c r="M728" i="7"/>
  <c r="I47" i="4"/>
  <c r="I69"/>
  <c r="J28" i="3"/>
  <c r="J230"/>
  <c r="L641" i="7"/>
  <c r="H43" i="4"/>
  <c r="K28" i="3"/>
  <c r="J38"/>
  <c r="J152"/>
  <c r="J150" s="1"/>
  <c r="J148" s="1"/>
  <c r="K224"/>
  <c r="J246"/>
  <c r="J244" s="1"/>
  <c r="K746" i="7"/>
  <c r="G47" i="4"/>
  <c r="I236" i="3"/>
  <c r="G72" i="4"/>
  <c r="I32" i="3"/>
  <c r="H301"/>
  <c r="H299" s="1"/>
  <c r="J543" i="7"/>
  <c r="G43" i="4"/>
  <c r="I230" i="3"/>
  <c r="K94" i="7"/>
  <c r="I36" i="3" s="1"/>
  <c r="K543" i="7"/>
  <c r="G39" i="4"/>
  <c r="I181" i="3"/>
  <c r="I179" s="1"/>
  <c r="I152"/>
  <c r="I150" s="1"/>
  <c r="J154" i="7"/>
  <c r="J130" s="1"/>
  <c r="G41" i="4"/>
  <c r="I68" i="3"/>
  <c r="I66" s="1"/>
  <c r="I52" s="1"/>
  <c r="I246"/>
  <c r="I244" s="1"/>
  <c r="I225"/>
  <c r="G69" i="4"/>
  <c r="K641" i="7"/>
  <c r="K639" s="1"/>
  <c r="K728"/>
  <c r="H105" i="9"/>
  <c r="J105"/>
  <c r="G105"/>
  <c r="I105"/>
  <c r="G106"/>
  <c r="H106"/>
  <c r="I106"/>
  <c r="J106"/>
  <c r="I107"/>
  <c r="H107"/>
  <c r="J107"/>
  <c r="G107"/>
  <c r="I95"/>
  <c r="J95"/>
  <c r="H95"/>
  <c r="G95"/>
  <c r="I80"/>
  <c r="J80"/>
  <c r="H80"/>
  <c r="G80"/>
  <c r="G79" s="1"/>
  <c r="J72"/>
  <c r="D64"/>
  <c r="G59"/>
  <c r="G58" s="1"/>
  <c r="G56"/>
  <c r="H56"/>
  <c r="I56"/>
  <c r="J56"/>
  <c r="I87"/>
  <c r="J87"/>
  <c r="G87"/>
  <c r="H87"/>
  <c r="G78"/>
  <c r="G77" s="1"/>
  <c r="H78"/>
  <c r="I78"/>
  <c r="J78"/>
  <c r="J55"/>
  <c r="G55"/>
  <c r="H55"/>
  <c r="I55"/>
  <c r="I112"/>
  <c r="G112"/>
  <c r="H112"/>
  <c r="J112"/>
  <c r="J71"/>
  <c r="G115"/>
  <c r="H115"/>
  <c r="I115"/>
  <c r="J115"/>
  <c r="G103"/>
  <c r="H103"/>
  <c r="I103"/>
  <c r="J103"/>
  <c r="G88"/>
  <c r="H88"/>
  <c r="I88"/>
  <c r="J88"/>
  <c r="J75"/>
  <c r="J61"/>
  <c r="G61"/>
  <c r="G60" s="1"/>
  <c r="I61"/>
  <c r="H61"/>
  <c r="G53"/>
  <c r="H53"/>
  <c r="I53"/>
  <c r="J53"/>
  <c r="I70"/>
  <c r="G70"/>
  <c r="J70"/>
  <c r="H70"/>
  <c r="I104"/>
  <c r="J104"/>
  <c r="H104"/>
  <c r="G104"/>
  <c r="I89"/>
  <c r="J89"/>
  <c r="G89"/>
  <c r="H89"/>
  <c r="H69"/>
  <c r="H68" s="1"/>
  <c r="H54"/>
  <c r="I54"/>
  <c r="J54"/>
  <c r="G54"/>
  <c r="F236" i="3"/>
  <c r="G50" i="9"/>
  <c r="H50"/>
  <c r="I50"/>
  <c r="J50"/>
  <c r="G49"/>
  <c r="H49"/>
  <c r="I49"/>
  <c r="J49"/>
  <c r="J74"/>
  <c r="I235" i="4"/>
  <c r="G22" i="9"/>
  <c r="H22"/>
  <c r="G44"/>
  <c r="H44"/>
  <c r="I44"/>
  <c r="J44"/>
  <c r="G38"/>
  <c r="H38"/>
  <c r="I38"/>
  <c r="J38"/>
  <c r="G32"/>
  <c r="H32"/>
  <c r="I32"/>
  <c r="J32"/>
  <c r="G39"/>
  <c r="H39"/>
  <c r="I39"/>
  <c r="J39"/>
  <c r="G33"/>
  <c r="H33"/>
  <c r="I33"/>
  <c r="J33"/>
  <c r="G27"/>
  <c r="H27"/>
  <c r="I27"/>
  <c r="J27"/>
  <c r="G40"/>
  <c r="H40"/>
  <c r="I40"/>
  <c r="J40"/>
  <c r="G34"/>
  <c r="H34"/>
  <c r="I34"/>
  <c r="J34"/>
  <c r="G28"/>
  <c r="H28"/>
  <c r="I28"/>
  <c r="J28"/>
  <c r="G41"/>
  <c r="H41"/>
  <c r="I41"/>
  <c r="J41"/>
  <c r="G29"/>
  <c r="H29"/>
  <c r="I29"/>
  <c r="J29"/>
  <c r="G43"/>
  <c r="H43"/>
  <c r="I43"/>
  <c r="J43"/>
  <c r="G37"/>
  <c r="H37"/>
  <c r="I37"/>
  <c r="J37"/>
  <c r="G31"/>
  <c r="H31"/>
  <c r="I31"/>
  <c r="J31"/>
  <c r="G35"/>
  <c r="H35"/>
  <c r="I35"/>
  <c r="J35"/>
  <c r="G42"/>
  <c r="H42"/>
  <c r="I42"/>
  <c r="J42"/>
  <c r="G36"/>
  <c r="H36"/>
  <c r="I36"/>
  <c r="J36"/>
  <c r="G30"/>
  <c r="H30"/>
  <c r="I30"/>
  <c r="J30"/>
  <c r="J93"/>
  <c r="J94"/>
  <c r="J83"/>
  <c r="J84"/>
  <c r="J117"/>
  <c r="I113"/>
  <c r="J113"/>
  <c r="G113"/>
  <c r="H113"/>
  <c r="J114"/>
  <c r="G114"/>
  <c r="I114"/>
  <c r="H114"/>
  <c r="J111"/>
  <c r="J109"/>
  <c r="J110"/>
  <c r="J108"/>
  <c r="J101"/>
  <c r="J102"/>
  <c r="J97"/>
  <c r="J98"/>
  <c r="J96"/>
  <c r="H21"/>
  <c r="G20"/>
  <c r="H20"/>
  <c r="I20"/>
  <c r="H19"/>
  <c r="I19"/>
  <c r="G19"/>
  <c r="I67"/>
  <c r="J67"/>
  <c r="G67"/>
  <c r="H67"/>
  <c r="F221" i="3"/>
  <c r="F219" s="1"/>
  <c r="F230"/>
  <c r="F225"/>
  <c r="F122"/>
  <c r="F120" s="1"/>
  <c r="F251"/>
  <c r="F249" s="1"/>
  <c r="F246"/>
  <c r="F244" s="1"/>
  <c r="H68" i="7"/>
  <c r="F28" i="3" s="1"/>
  <c r="F308"/>
  <c r="F306" s="1"/>
  <c r="F181"/>
  <c r="F179" s="1"/>
  <c r="H746" i="7"/>
  <c r="F38" i="3"/>
  <c r="H728" i="7"/>
  <c r="J128" i="9"/>
  <c r="G125"/>
  <c r="I125"/>
  <c r="J100"/>
  <c r="J63"/>
  <c r="G235" i="4"/>
  <c r="I226"/>
  <c r="H234"/>
  <c r="G226"/>
  <c r="H226"/>
  <c r="J218"/>
  <c r="D215"/>
  <c r="I177"/>
  <c r="J234"/>
  <c r="H227"/>
  <c r="G222"/>
  <c r="H235"/>
  <c r="D168"/>
  <c r="I170"/>
  <c r="I168" s="1"/>
  <c r="I149" s="1"/>
  <c r="J170"/>
  <c r="J168" s="1"/>
  <c r="J149" s="1"/>
  <c r="H170"/>
  <c r="H168" s="1"/>
  <c r="H149" s="1"/>
  <c r="G170"/>
  <c r="G168" s="1"/>
  <c r="G149" s="1"/>
  <c r="J230"/>
  <c r="J228" s="1"/>
  <c r="H236"/>
  <c r="I230"/>
  <c r="I228" s="1"/>
  <c r="J236"/>
  <c r="H218"/>
  <c r="G236"/>
  <c r="H177"/>
  <c r="D231"/>
  <c r="G177"/>
  <c r="D228"/>
  <c r="G230"/>
  <c r="G228" s="1"/>
  <c r="I225"/>
  <c r="J85" i="9"/>
  <c r="J82"/>
  <c r="J23"/>
  <c r="J20"/>
  <c r="J19"/>
  <c r="D94" i="4"/>
  <c r="D60"/>
  <c r="D79"/>
  <c r="D77" s="1"/>
  <c r="D23"/>
  <c r="D21" s="1"/>
  <c r="D151"/>
  <c r="J21" i="9"/>
  <c r="J215" i="4"/>
  <c r="D99" i="9"/>
  <c r="D91" s="1"/>
  <c r="F231" i="3"/>
  <c r="F213"/>
  <c r="F195"/>
  <c r="D123" i="4"/>
  <c r="D112"/>
  <c r="D104"/>
  <c r="F261" i="3"/>
  <c r="F201"/>
  <c r="G188"/>
  <c r="F130"/>
  <c r="F107"/>
  <c r="F71"/>
  <c r="F69" s="1"/>
  <c r="D198" i="4"/>
  <c r="D108"/>
  <c r="E77"/>
  <c r="H215"/>
  <c r="F213"/>
  <c r="I69" i="9"/>
  <c r="E57"/>
  <c r="F57"/>
  <c r="H68" i="3"/>
  <c r="H66" s="1"/>
  <c r="H52" s="1"/>
  <c r="D45" i="4"/>
  <c r="G71" i="9"/>
  <c r="H631" i="7"/>
  <c r="K301" i="3"/>
  <c r="K299" s="1"/>
  <c r="G62" i="9"/>
  <c r="H759" i="7"/>
  <c r="G69" i="9"/>
  <c r="I301" i="3"/>
  <c r="I299" s="1"/>
  <c r="K431" i="7"/>
  <c r="J69" i="9"/>
  <c r="D116"/>
  <c r="H72"/>
  <c r="J59"/>
  <c r="H71"/>
  <c r="D48"/>
  <c r="I75"/>
  <c r="I616" i="7"/>
  <c r="I611" s="1"/>
  <c r="G236" i="3" s="1"/>
  <c r="N730" i="7"/>
  <c r="G65" i="9"/>
  <c r="G64" s="1"/>
  <c r="D58"/>
  <c r="D62"/>
  <c r="I72"/>
  <c r="E25"/>
  <c r="E24" s="1"/>
  <c r="E17" s="1"/>
  <c r="D125"/>
  <c r="I62"/>
  <c r="I59"/>
  <c r="D52"/>
  <c r="G122"/>
  <c r="H62"/>
  <c r="I77"/>
  <c r="I71"/>
  <c r="G72"/>
  <c r="D77"/>
  <c r="H59"/>
  <c r="D122"/>
  <c r="H60"/>
  <c r="D119"/>
  <c r="J65"/>
  <c r="G75"/>
  <c r="D79"/>
  <c r="D60"/>
  <c r="I65"/>
  <c r="E76"/>
  <c r="H75"/>
  <c r="H65"/>
  <c r="D86"/>
  <c r="D26"/>
  <c r="H122"/>
  <c r="D81"/>
  <c r="D73"/>
  <c r="K38" i="3"/>
  <c r="D68" i="9"/>
  <c r="I724" i="7"/>
  <c r="I28" i="3"/>
  <c r="F239"/>
  <c r="N101" i="7"/>
  <c r="M763"/>
  <c r="K32" i="3"/>
  <c r="K763" i="7"/>
  <c r="I730"/>
  <c r="I728" s="1"/>
  <c r="K246" i="3"/>
  <c r="K244" s="1"/>
  <c r="F32"/>
  <c r="E40" i="4"/>
  <c r="J32" i="3"/>
  <c r="H431" i="7"/>
  <c r="J641"/>
  <c r="J639" s="1"/>
  <c r="I741"/>
  <c r="G298" i="3" s="1"/>
  <c r="G296" s="1"/>
  <c r="K41"/>
  <c r="N632" i="7"/>
  <c r="M356"/>
  <c r="K181" i="3"/>
  <c r="K179" s="1"/>
  <c r="D63" i="4"/>
  <c r="I19" i="3"/>
  <c r="E102" i="4"/>
  <c r="J225"/>
  <c r="H225"/>
  <c r="D164"/>
  <c r="H222"/>
  <c r="D223"/>
  <c r="I234"/>
  <c r="G227"/>
  <c r="I218"/>
  <c r="G218"/>
  <c r="J227"/>
  <c r="I227"/>
  <c r="J222"/>
  <c r="D207"/>
  <c r="F188" i="3"/>
  <c r="J122"/>
  <c r="J120" s="1"/>
  <c r="E48" i="4"/>
  <c r="J19" i="3"/>
  <c r="K221"/>
  <c r="K219" s="1"/>
  <c r="F301"/>
  <c r="F299" s="1"/>
  <c r="L292"/>
  <c r="K154" i="7"/>
  <c r="E47" i="4"/>
  <c r="I589" i="7"/>
  <c r="L289" i="3"/>
  <c r="L287" s="1"/>
  <c r="K631" i="7"/>
  <c r="L631"/>
  <c r="H641"/>
  <c r="J433"/>
  <c r="E66" i="4"/>
  <c r="I167" i="3"/>
  <c r="I165" s="1"/>
  <c r="E72" i="4"/>
  <c r="G167" i="3"/>
  <c r="G165" s="1"/>
  <c r="F185" i="4"/>
  <c r="I748" i="7"/>
  <c r="N748"/>
  <c r="I761"/>
  <c r="G308" i="3" s="1"/>
  <c r="G306" s="1"/>
  <c r="J251"/>
  <c r="J249" s="1"/>
  <c r="J247" s="1"/>
  <c r="D155" i="4"/>
  <c r="N96" i="7"/>
  <c r="K556"/>
  <c r="L746"/>
  <c r="E69" i="4"/>
  <c r="F167" i="3"/>
  <c r="F165" s="1"/>
  <c r="N78" i="7"/>
  <c r="E62" i="4"/>
  <c r="E60" s="1"/>
  <c r="N156" i="7"/>
  <c r="I281"/>
  <c r="N281"/>
  <c r="N761"/>
  <c r="M641"/>
  <c r="H94"/>
  <c r="E43" i="4"/>
  <c r="J281" i="7"/>
  <c r="E42" i="4"/>
  <c r="I558" i="7"/>
  <c r="N558"/>
  <c r="G226" i="3"/>
  <c r="N589" i="7"/>
  <c r="I224" i="3"/>
  <c r="E158" i="4"/>
  <c r="E155" s="1"/>
  <c r="E41"/>
  <c r="N358" i="7"/>
  <c r="I433"/>
  <c r="I545"/>
  <c r="G251" i="3"/>
  <c r="G249" s="1"/>
  <c r="I641" i="7"/>
  <c r="N641"/>
  <c r="L251" i="3"/>
  <c r="L249" s="1"/>
  <c r="L101" i="7"/>
  <c r="L761"/>
  <c r="E39" i="4"/>
  <c r="J589" i="7"/>
  <c r="I78"/>
  <c r="I68" s="1"/>
  <c r="J181" i="3"/>
  <c r="J179" s="1"/>
  <c r="L154" i="7"/>
  <c r="L396"/>
  <c r="I96"/>
  <c r="I221" i="3"/>
  <c r="I219" s="1"/>
  <c r="M396" i="7"/>
  <c r="I251" i="3"/>
  <c r="I249" s="1"/>
  <c r="I247" s="1"/>
  <c r="L94" i="7"/>
  <c r="K101"/>
  <c r="J746"/>
  <c r="J96"/>
  <c r="N433"/>
  <c r="J449"/>
  <c r="N545"/>
  <c r="L356"/>
  <c r="I358"/>
  <c r="L226" i="3"/>
  <c r="K356" i="7"/>
  <c r="H247" i="3"/>
  <c r="D67" i="4"/>
  <c r="D140"/>
  <c r="D134" s="1"/>
  <c r="E25"/>
  <c r="E23" s="1"/>
  <c r="E21" s="1"/>
  <c r="L543" i="7"/>
  <c r="H543"/>
  <c r="E96" i="4"/>
  <c r="E94" s="1"/>
  <c r="L239" i="3"/>
  <c r="M556" i="7"/>
  <c r="L556"/>
  <c r="K122" i="3"/>
  <c r="K120" s="1"/>
  <c r="E76" i="4"/>
  <c r="H279" i="7"/>
  <c r="K68" i="3"/>
  <c r="K66" s="1"/>
  <c r="K52" s="1"/>
  <c r="I38"/>
  <c r="D36" i="4"/>
  <c r="G99" i="9" l="1"/>
  <c r="G91" s="1"/>
  <c r="G90" s="1"/>
  <c r="F247" i="3"/>
  <c r="J348" i="7"/>
  <c r="H147" i="3"/>
  <c r="H145" s="1"/>
  <c r="I64" i="9"/>
  <c r="J48"/>
  <c r="H79"/>
  <c r="J22"/>
  <c r="J64"/>
  <c r="I58"/>
  <c r="I73"/>
  <c r="J62"/>
  <c r="J79"/>
  <c r="H64"/>
  <c r="J58"/>
  <c r="I116"/>
  <c r="H77"/>
  <c r="J77"/>
  <c r="I60"/>
  <c r="H58"/>
  <c r="J60"/>
  <c r="I79"/>
  <c r="J36" i="4"/>
  <c r="J67"/>
  <c r="N639" i="7"/>
  <c r="L32" i="3"/>
  <c r="N356" i="7"/>
  <c r="N94"/>
  <c r="L224" i="3"/>
  <c r="N543" i="7"/>
  <c r="L68" i="3"/>
  <c r="L66" s="1"/>
  <c r="L52" s="1"/>
  <c r="L230"/>
  <c r="L301"/>
  <c r="L299" s="1"/>
  <c r="L39"/>
  <c r="N728" i="7"/>
  <c r="L236" i="3"/>
  <c r="N759" i="7"/>
  <c r="N631"/>
  <c r="L225" i="3"/>
  <c r="L122"/>
  <c r="L120" s="1"/>
  <c r="M16" i="7"/>
  <c r="I67" i="4"/>
  <c r="H67"/>
  <c r="M639" i="7"/>
  <c r="K222" i="3"/>
  <c r="K217" s="1"/>
  <c r="I25" i="4"/>
  <c r="K36" i="3"/>
  <c r="M130" i="7"/>
  <c r="G67" i="4"/>
  <c r="I148" i="3"/>
  <c r="J36"/>
  <c r="L130" i="7"/>
  <c r="J39" i="3"/>
  <c r="L639" i="7"/>
  <c r="I356"/>
  <c r="G225" i="3"/>
  <c r="I222"/>
  <c r="I217" s="1"/>
  <c r="G230"/>
  <c r="K354" i="7"/>
  <c r="H187" i="3"/>
  <c r="H185" s="1"/>
  <c r="G122"/>
  <c r="G120" s="1"/>
  <c r="G95" s="1"/>
  <c r="G224"/>
  <c r="K130" i="7"/>
  <c r="J431"/>
  <c r="I431"/>
  <c r="J279"/>
  <c r="H230" i="3"/>
  <c r="I746" i="7"/>
  <c r="I39" i="3"/>
  <c r="I17" s="1"/>
  <c r="I543" i="7"/>
  <c r="G25" i="4"/>
  <c r="G68" i="9"/>
  <c r="J81"/>
  <c r="J68"/>
  <c r="H48"/>
  <c r="G86"/>
  <c r="J116"/>
  <c r="I48"/>
  <c r="D66"/>
  <c r="D57" s="1"/>
  <c r="H99"/>
  <c r="I99"/>
  <c r="I81"/>
  <c r="D51"/>
  <c r="J52"/>
  <c r="G52"/>
  <c r="G51" s="1"/>
  <c r="H52"/>
  <c r="I52"/>
  <c r="I68"/>
  <c r="G48"/>
  <c r="G47" s="1"/>
  <c r="G73"/>
  <c r="J73"/>
  <c r="D47"/>
  <c r="H81"/>
  <c r="H73"/>
  <c r="G26"/>
  <c r="G25" s="1"/>
  <c r="G24" s="1"/>
  <c r="H26"/>
  <c r="I26"/>
  <c r="J26"/>
  <c r="J99"/>
  <c r="F36" i="3"/>
  <c r="H639" i="7"/>
  <c r="D90" i="9"/>
  <c r="D76" s="1"/>
  <c r="G231" i="4"/>
  <c r="G223"/>
  <c r="G220" s="1"/>
  <c r="H231"/>
  <c r="J231"/>
  <c r="H223"/>
  <c r="H220" s="1"/>
  <c r="I223"/>
  <c r="I220" s="1"/>
  <c r="D220"/>
  <c r="G18" i="9"/>
  <c r="I18"/>
  <c r="J18"/>
  <c r="D102" i="4"/>
  <c r="D25" i="9"/>
  <c r="L247" i="3"/>
  <c r="H181"/>
  <c r="H179" s="1"/>
  <c r="G246"/>
  <c r="G244" s="1"/>
  <c r="J122" i="9"/>
  <c r="H86"/>
  <c r="G239" i="3"/>
  <c r="H125" i="9"/>
  <c r="H116"/>
  <c r="H66"/>
  <c r="I122"/>
  <c r="N154" i="7"/>
  <c r="K761"/>
  <c r="J125" i="9"/>
  <c r="I86"/>
  <c r="G116"/>
  <c r="J66"/>
  <c r="G221" i="3"/>
  <c r="G219" s="1"/>
  <c r="J86" i="9"/>
  <c r="I66"/>
  <c r="G81"/>
  <c r="E16"/>
  <c r="G66"/>
  <c r="H18"/>
  <c r="L308" i="3"/>
  <c r="L306" s="1"/>
  <c r="I279" i="7"/>
  <c r="I219" s="1"/>
  <c r="N746"/>
  <c r="M761"/>
  <c r="M354"/>
  <c r="I639"/>
  <c r="L246" i="3"/>
  <c r="L244" s="1"/>
  <c r="E140" i="4"/>
  <c r="E134" s="1"/>
  <c r="I739" i="7"/>
  <c r="L38" i="3"/>
  <c r="L28"/>
  <c r="L152"/>
  <c r="L150" s="1"/>
  <c r="E45" i="4"/>
  <c r="G301" i="3"/>
  <c r="G299" s="1"/>
  <c r="G278" s="1"/>
  <c r="L221"/>
  <c r="L219" s="1"/>
  <c r="J223" i="4"/>
  <c r="J220" s="1"/>
  <c r="E63"/>
  <c r="J21" i="3"/>
  <c r="E67" i="4"/>
  <c r="H167" i="3"/>
  <c r="H165" s="1"/>
  <c r="J396" i="7"/>
  <c r="G152" i="3"/>
  <c r="G150" s="1"/>
  <c r="G148" s="1"/>
  <c r="N279" i="7"/>
  <c r="E36" i="4"/>
  <c r="K16" i="7"/>
  <c r="I396"/>
  <c r="G181" i="3"/>
  <c r="G179" s="1"/>
  <c r="L16" i="7"/>
  <c r="I759"/>
  <c r="K541"/>
  <c r="H122" i="3"/>
  <c r="H120" s="1"/>
  <c r="H95" s="1"/>
  <c r="L354" i="7"/>
  <c r="G247" i="3"/>
  <c r="I556" i="7"/>
  <c r="I94"/>
  <c r="G38" i="3"/>
  <c r="N431" i="7"/>
  <c r="L181" i="3"/>
  <c r="L179" s="1"/>
  <c r="N396" i="7"/>
  <c r="L167" i="3"/>
  <c r="L165" s="1"/>
  <c r="J308"/>
  <c r="J306" s="1"/>
  <c r="J278" s="1"/>
  <c r="L759" i="7"/>
  <c r="N556"/>
  <c r="J447"/>
  <c r="L21" i="3"/>
  <c r="J94" i="7"/>
  <c r="H38" i="3"/>
  <c r="G28"/>
  <c r="G32"/>
  <c r="M541" i="7"/>
  <c r="L541"/>
  <c r="J222" i="3"/>
  <c r="J217" s="1"/>
  <c r="K19"/>
  <c r="J219" i="7" l="1"/>
  <c r="F145" i="3"/>
  <c r="F95" s="1"/>
  <c r="H348" i="7"/>
  <c r="J91" i="9"/>
  <c r="H47"/>
  <c r="H51"/>
  <c r="I51"/>
  <c r="I91"/>
  <c r="J47"/>
  <c r="H25"/>
  <c r="I47"/>
  <c r="I57"/>
  <c r="I25"/>
  <c r="H91"/>
  <c r="J25"/>
  <c r="J51"/>
  <c r="L222" i="3"/>
  <c r="L217" s="1"/>
  <c r="L36"/>
  <c r="N130" i="7"/>
  <c r="N354"/>
  <c r="H168" i="3"/>
  <c r="J17"/>
  <c r="K308"/>
  <c r="K306" s="1"/>
  <c r="K278" s="1"/>
  <c r="L709" i="7"/>
  <c r="K17" i="3"/>
  <c r="I541" i="7"/>
  <c r="I354"/>
  <c r="I308" i="3"/>
  <c r="I306" s="1"/>
  <c r="I278" s="1"/>
  <c r="J411" i="7"/>
  <c r="G57" i="9"/>
  <c r="J57"/>
  <c r="H57"/>
  <c r="D24"/>
  <c r="G17"/>
  <c r="G213" i="4"/>
  <c r="J213"/>
  <c r="H213"/>
  <c r="D213"/>
  <c r="G76" i="9"/>
  <c r="K759" i="7"/>
  <c r="I709"/>
  <c r="M759"/>
  <c r="L148" i="3"/>
  <c r="G222"/>
  <c r="G217" s="1"/>
  <c r="N541" i="7"/>
  <c r="H36" i="3"/>
  <c r="L19"/>
  <c r="N16" i="7"/>
  <c r="G36" i="3"/>
  <c r="H219" i="7" l="1"/>
  <c r="L147" i="3"/>
  <c r="L145" s="1"/>
  <c r="L95" s="1"/>
  <c r="N348" i="7"/>
  <c r="N219" s="1"/>
  <c r="I90" i="9"/>
  <c r="I24"/>
  <c r="J24"/>
  <c r="H90"/>
  <c r="H24"/>
  <c r="J90"/>
  <c r="L17" i="3"/>
  <c r="I176" i="4"/>
  <c r="H176"/>
  <c r="G176"/>
  <c r="M709" i="7"/>
  <c r="K709"/>
  <c r="D17" i="9"/>
  <c r="G16"/>
  <c r="H741" i="7"/>
  <c r="J741"/>
  <c r="H298" i="3" s="1"/>
  <c r="H296" s="1"/>
  <c r="H278" s="1"/>
  <c r="I76" i="9" l="1"/>
  <c r="J76"/>
  <c r="H76"/>
  <c r="J17"/>
  <c r="H17"/>
  <c r="I17"/>
  <c r="J147" i="3"/>
  <c r="J145" s="1"/>
  <c r="J95" s="1"/>
  <c r="L348" i="7"/>
  <c r="K348"/>
  <c r="I147" i="3"/>
  <c r="I145" s="1"/>
  <c r="D16" i="9"/>
  <c r="F298" i="3"/>
  <c r="F296" s="1"/>
  <c r="F278" s="1"/>
  <c r="H739" i="7"/>
  <c r="J739"/>
  <c r="J709" s="1"/>
  <c r="N741"/>
  <c r="I16" i="9" l="1"/>
  <c r="H16"/>
  <c r="J16"/>
  <c r="L219" i="7"/>
  <c r="H709"/>
  <c r="N739"/>
  <c r="L298" i="3"/>
  <c r="L296" s="1"/>
  <c r="L278" s="1"/>
  <c r="N709" i="7" l="1"/>
  <c r="J781"/>
  <c r="G314" i="3"/>
  <c r="G312" s="1"/>
  <c r="G310" s="1"/>
  <c r="I778" i="7"/>
  <c r="E176" i="4"/>
  <c r="E174" s="1"/>
  <c r="D192"/>
  <c r="F189"/>
  <c r="H18" i="7"/>
  <c r="D184" i="4"/>
  <c r="G21" i="3"/>
  <c r="J778" i="7" l="1"/>
  <c r="N781"/>
  <c r="I776"/>
  <c r="H21" i="3"/>
  <c r="D182" i="4"/>
  <c r="F184"/>
  <c r="F182" s="1"/>
  <c r="F19" i="3"/>
  <c r="F21"/>
  <c r="J176" i="4" l="1"/>
  <c r="J16" i="7"/>
  <c r="G19" i="3"/>
  <c r="H19" l="1"/>
  <c r="H17" s="1"/>
  <c r="D173" i="4"/>
  <c r="D171" s="1"/>
  <c r="E173"/>
  <c r="F41" i="3"/>
  <c r="D149" i="4" l="1"/>
  <c r="E171"/>
  <c r="E149" s="1"/>
  <c r="G41" i="3"/>
  <c r="H101" i="7"/>
  <c r="H16" l="1"/>
  <c r="I101"/>
  <c r="G39" i="3" s="1"/>
  <c r="G17" s="1"/>
  <c r="F39"/>
  <c r="F17" s="1"/>
  <c r="I16" i="7" l="1"/>
  <c r="D100" i="4"/>
  <c r="H156" i="7"/>
  <c r="E100" i="4"/>
  <c r="E98" s="1"/>
  <c r="E92" s="1"/>
  <c r="H154" i="7" l="1"/>
  <c r="D98" i="4"/>
  <c r="D92" s="1"/>
  <c r="F68" i="3"/>
  <c r="F66" s="1"/>
  <c r="F52" s="1"/>
  <c r="I156" i="7"/>
  <c r="H130" l="1"/>
  <c r="I154"/>
  <c r="I130" s="1"/>
  <c r="G68" i="3"/>
  <c r="G66" s="1"/>
  <c r="G52" s="1"/>
  <c r="J358" i="7" l="1"/>
  <c r="H358"/>
  <c r="H152" i="3" l="1"/>
  <c r="H150" s="1"/>
  <c r="H148" s="1"/>
  <c r="H356" i="7"/>
  <c r="F152" i="3"/>
  <c r="F150" s="1"/>
  <c r="F148" s="1"/>
  <c r="J356" i="7"/>
  <c r="J354" s="1"/>
  <c r="H354" l="1"/>
  <c r="H558"/>
  <c r="J558"/>
  <c r="J556" s="1"/>
  <c r="D187" i="4"/>
  <c r="H556" i="7" l="1"/>
  <c r="D180" i="4"/>
  <c r="D178" s="1"/>
  <c r="J541" i="7"/>
  <c r="J15" s="1"/>
  <c r="H222" i="3"/>
  <c r="H217" s="1"/>
  <c r="H16" s="1"/>
  <c r="F190" i="4"/>
  <c r="F187" s="1"/>
  <c r="F180" s="1"/>
  <c r="F178" s="1"/>
  <c r="F224" i="3"/>
  <c r="S15" i="7" l="1"/>
  <c r="S11"/>
  <c r="H541"/>
  <c r="F222" i="3"/>
  <c r="F217" s="1"/>
  <c r="F17" i="4"/>
  <c r="S10" i="7" s="1"/>
  <c r="F127" i="9" l="1"/>
  <c r="F176" i="4"/>
  <c r="F174" s="1"/>
  <c r="F149" s="1"/>
  <c r="F19" s="1"/>
  <c r="J776" i="7"/>
  <c r="H314" i="3"/>
  <c r="H312" s="1"/>
  <c r="H310" s="1"/>
  <c r="F125" i="9" l="1"/>
  <c r="F76" s="1"/>
  <c r="F16" s="1"/>
  <c r="S8" i="7" s="1"/>
  <c r="D127" i="9"/>
  <c r="E17" i="15" l="1"/>
  <c r="I121" i="4" l="1"/>
  <c r="H121" s="1"/>
  <c r="G121" s="1"/>
  <c r="I33"/>
  <c r="I30"/>
  <c r="I122"/>
  <c r="H122" s="1"/>
  <c r="G122" s="1"/>
  <c r="I120"/>
  <c r="I49"/>
  <c r="I97"/>
  <c r="I23" l="1"/>
  <c r="I94"/>
  <c r="H97"/>
  <c r="I98"/>
  <c r="I104"/>
  <c r="I129"/>
  <c r="I36"/>
  <c r="I87"/>
  <c r="I136"/>
  <c r="I134" s="1"/>
  <c r="I28"/>
  <c r="H30"/>
  <c r="I118"/>
  <c r="I112" s="1"/>
  <c r="H120"/>
  <c r="I31"/>
  <c r="H33"/>
  <c r="I123"/>
  <c r="I45"/>
  <c r="H49"/>
  <c r="I79"/>
  <c r="I83"/>
  <c r="I108"/>
  <c r="I77" l="1"/>
  <c r="I21"/>
  <c r="H108"/>
  <c r="G108"/>
  <c r="H79"/>
  <c r="G79"/>
  <c r="H118"/>
  <c r="G120"/>
  <c r="G118" s="1"/>
  <c r="H112"/>
  <c r="H87"/>
  <c r="G87"/>
  <c r="H129"/>
  <c r="H123" s="1"/>
  <c r="G129"/>
  <c r="H98"/>
  <c r="G98"/>
  <c r="H23"/>
  <c r="G23"/>
  <c r="I92"/>
  <c r="H83"/>
  <c r="G83"/>
  <c r="H45"/>
  <c r="G49"/>
  <c r="G45" s="1"/>
  <c r="H31"/>
  <c r="G33"/>
  <c r="G31" s="1"/>
  <c r="H28"/>
  <c r="G30"/>
  <c r="G28" s="1"/>
  <c r="H136"/>
  <c r="H134" s="1"/>
  <c r="G136"/>
  <c r="G134" s="1"/>
  <c r="H36"/>
  <c r="G36"/>
  <c r="H104"/>
  <c r="G104"/>
  <c r="H94"/>
  <c r="G97"/>
  <c r="G94" s="1"/>
  <c r="I102"/>
  <c r="G21" l="1"/>
  <c r="H92"/>
  <c r="G77"/>
  <c r="H21"/>
  <c r="H102"/>
  <c r="G112"/>
  <c r="G123"/>
  <c r="G92"/>
  <c r="H77"/>
  <c r="G102" l="1"/>
  <c r="J127" i="9"/>
  <c r="I127"/>
  <c r="H174" i="4"/>
  <c r="I314" i="3"/>
  <c r="I312" s="1"/>
  <c r="I310" s="1"/>
  <c r="L314" l="1"/>
  <c r="L312" s="1"/>
  <c r="L310" s="1"/>
  <c r="G174" i="4"/>
  <c r="M778" i="7"/>
  <c r="K314" i="3"/>
  <c r="K312" s="1"/>
  <c r="K310" s="1"/>
  <c r="K778" i="7"/>
  <c r="J314" i="3"/>
  <c r="J312" s="1"/>
  <c r="J310" s="1"/>
  <c r="N778" i="7"/>
  <c r="H127" i="9"/>
  <c r="L778" i="7"/>
  <c r="I174" i="4"/>
  <c r="N776" i="7" l="1"/>
  <c r="L776"/>
  <c r="M776"/>
  <c r="K776"/>
  <c r="J174" i="4"/>
  <c r="E59"/>
  <c r="E50" s="1"/>
  <c r="E34" s="1"/>
  <c r="E19" s="1"/>
  <c r="E17" s="1"/>
  <c r="I449" i="7"/>
  <c r="I447" s="1"/>
  <c r="I411" s="1"/>
  <c r="I15" s="1"/>
  <c r="H453"/>
  <c r="R10" l="1"/>
  <c r="R8"/>
  <c r="R15"/>
  <c r="D17" i="15"/>
  <c r="N453" i="7"/>
  <c r="D59" i="4"/>
  <c r="H449" i="7"/>
  <c r="G187" i="3"/>
  <c r="G185" s="1"/>
  <c r="G168" s="1"/>
  <c r="G16" s="1"/>
  <c r="R11" i="7" s="1"/>
  <c r="D50" i="4" l="1"/>
  <c r="F187" i="3"/>
  <c r="F185" s="1"/>
  <c r="F168" s="1"/>
  <c r="F16" s="1"/>
  <c r="H447" i="7"/>
  <c r="K449"/>
  <c r="G59" i="4"/>
  <c r="G50" s="1"/>
  <c r="G34" s="1"/>
  <c r="G19" s="1"/>
  <c r="N449" i="7"/>
  <c r="J59" i="4"/>
  <c r="J50" s="1"/>
  <c r="J34" s="1"/>
  <c r="J19" s="1"/>
  <c r="J17" s="1"/>
  <c r="H59"/>
  <c r="H50" s="1"/>
  <c r="H34" s="1"/>
  <c r="H19" s="1"/>
  <c r="H17" s="1"/>
  <c r="L449" i="7"/>
  <c r="M449"/>
  <c r="I59" i="4"/>
  <c r="I50" s="1"/>
  <c r="I34" s="1"/>
  <c r="I19" s="1"/>
  <c r="L447" i="7" l="1"/>
  <c r="J187" i="3"/>
  <c r="J185" s="1"/>
  <c r="J168" s="1"/>
  <c r="J16" s="1"/>
  <c r="H411" i="7"/>
  <c r="K187" i="3"/>
  <c r="K185" s="1"/>
  <c r="K168" s="1"/>
  <c r="M447" i="7"/>
  <c r="L187" i="3"/>
  <c r="L185" s="1"/>
  <c r="L168" s="1"/>
  <c r="L16" s="1"/>
  <c r="N447" i="7"/>
  <c r="D34" i="4"/>
  <c r="K447" i="7"/>
  <c r="I187" i="3"/>
  <c r="I185" s="1"/>
  <c r="I168" s="1"/>
  <c r="N411" i="7" l="1"/>
  <c r="L411"/>
  <c r="M411"/>
  <c r="K411"/>
  <c r="D19" i="4"/>
  <c r="H15" i="7"/>
  <c r="Q11" l="1"/>
  <c r="Q15"/>
  <c r="Q8"/>
  <c r="N15"/>
  <c r="L15"/>
  <c r="D17" i="4"/>
  <c r="Q10" i="7" s="1"/>
  <c r="C17" i="15"/>
  <c r="W11" i="7" l="1"/>
  <c r="W10"/>
  <c r="W8"/>
  <c r="W15"/>
  <c r="U15"/>
  <c r="U11"/>
  <c r="U10"/>
  <c r="U8"/>
  <c r="I17" i="15"/>
  <c r="G17"/>
  <c r="K281" i="7"/>
  <c r="G182" i="4"/>
  <c r="G180" s="1"/>
  <c r="G178" s="1"/>
  <c r="K279" i="7" l="1"/>
  <c r="G17" i="4"/>
  <c r="I122" i="3"/>
  <c r="I120" s="1"/>
  <c r="I95" s="1"/>
  <c r="I16" s="1"/>
  <c r="K219" i="7" l="1"/>
  <c r="K15" l="1"/>
  <c r="I231" i="4"/>
  <c r="I213" s="1"/>
  <c r="T8" i="7" l="1"/>
  <c r="T15"/>
  <c r="T11"/>
  <c r="T10"/>
  <c r="F17" i="15"/>
  <c r="I17" i="4"/>
  <c r="M348" i="7" l="1"/>
  <c r="K147" i="3"/>
  <c r="K145" s="1"/>
  <c r="K95" s="1"/>
  <c r="K16" s="1"/>
  <c r="M219" i="7" l="1"/>
  <c r="M15" l="1"/>
  <c r="V11" l="1"/>
  <c r="V8"/>
  <c r="V10"/>
  <c r="V15"/>
  <c r="H17" i="15"/>
</calcChain>
</file>

<file path=xl/sharedStrings.xml><?xml version="1.0" encoding="utf-8"?>
<sst xmlns="http://schemas.openxmlformats.org/spreadsheetml/2006/main" count="2631" uniqueCount="877">
  <si>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</si>
  <si>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</si>
  <si>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</si>
  <si>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</si>
  <si>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</si>
  <si>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</si>
  <si>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</si>
  <si>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</si>
  <si>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</si>
  <si>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</si>
  <si>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</si>
  <si>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</si>
  <si>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</si>
  <si>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</si>
  <si>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</si>
  <si>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</si>
  <si>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</si>
  <si>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</si>
  <si>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</si>
  <si>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</si>
  <si>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</si>
  <si>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</si>
  <si>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</si>
  <si>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</si>
  <si>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</si>
  <si>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</si>
  <si>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</si>
  <si>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</si>
  <si>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</si>
  <si>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</si>
  <si>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</si>
  <si>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</si>
  <si>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</si>
  <si>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</si>
  <si>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</si>
  <si>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</si>
  <si>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</si>
  <si>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</si>
  <si>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</si>
  <si>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</si>
  <si>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</si>
  <si>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</si>
  <si>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</si>
  <si>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</si>
  <si>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</si>
  <si>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</si>
  <si>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</si>
  <si>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</si>
  <si>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</si>
  <si>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</si>
  <si>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</si>
  <si>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</si>
  <si>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</si>
  <si>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</si>
  <si>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</si>
  <si>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</si>
  <si>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</si>
  <si>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</si>
  <si>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</si>
  <si>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</si>
  <si>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</si>
  <si>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</si>
  <si>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</si>
  <si>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</si>
  <si>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</si>
  <si>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</si>
  <si>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</si>
  <si>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</si>
  <si>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</si>
  <si>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</si>
  <si>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</si>
  <si>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</si>
  <si>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</si>
  <si>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</si>
  <si>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</si>
  <si>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</si>
  <si>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</si>
  <si>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</si>
  <si>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</si>
  <si>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</si>
  <si>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</si>
  <si>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</si>
  <si>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</si>
  <si>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</si>
  <si>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</si>
  <si>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</si>
  <si>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</si>
  <si>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</si>
  <si>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</si>
  <si>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</si>
  <si>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</si>
  <si>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</si>
  <si>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</si>
  <si>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</si>
  <si>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</si>
  <si>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</si>
  <si>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</si>
  <si>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</si>
  <si>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</si>
  <si>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</si>
  <si>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</si>
  <si>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</si>
  <si>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</si>
  <si>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</si>
  <si>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</si>
  <si>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</si>
  <si>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</si>
  <si>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</si>
  <si>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</si>
  <si>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</si>
  <si>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</si>
  <si>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</si>
  <si>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</si>
  <si>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</si>
  <si>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</si>
  <si>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</si>
  <si>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</si>
  <si>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</si>
  <si>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</si>
  <si>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</si>
  <si>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</si>
  <si>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</si>
  <si>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</si>
  <si>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</si>
  <si>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</si>
  <si>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</si>
  <si>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</si>
  <si>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</si>
  <si>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</si>
  <si>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</si>
  <si>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</si>
  <si>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</si>
  <si>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</si>
  <si>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</si>
  <si>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</si>
  <si>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</si>
  <si>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</si>
  <si>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</si>
  <si>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</si>
  <si>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</si>
  <si>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</si>
  <si>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</si>
  <si>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</si>
  <si>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</si>
  <si>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</si>
  <si>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</si>
  <si>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</si>
  <si>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</si>
  <si>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</si>
  <si>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</si>
  <si>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</si>
  <si>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</si>
  <si>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</si>
  <si>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</si>
  <si>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</si>
  <si>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</si>
  <si>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</si>
  <si>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</si>
  <si>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</si>
  <si>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</si>
  <si>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</si>
  <si>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</si>
  <si>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</si>
  <si>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</si>
  <si>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</si>
  <si>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</si>
  <si>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</si>
  <si>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</si>
  <si>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</si>
  <si>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</si>
  <si>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</si>
  <si>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</si>
  <si>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</si>
  <si>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</si>
  <si>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</si>
  <si>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</si>
  <si>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</si>
  <si>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</si>
  <si>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</si>
  <si>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</si>
  <si>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</si>
  <si>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</si>
  <si>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</si>
  <si>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</si>
  <si>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</si>
  <si>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</si>
  <si>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</si>
  <si>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</si>
  <si>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</si>
  <si>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</si>
  <si>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</si>
  <si>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</si>
  <si>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</si>
  <si>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</si>
  <si>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</si>
  <si>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</si>
  <si>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</si>
  <si>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</si>
  <si>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</si>
  <si>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</si>
  <si>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</si>
  <si>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</si>
  <si>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</si>
  <si>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</si>
  <si>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</si>
  <si>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</si>
  <si>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</si>
  <si>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</si>
  <si>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</si>
  <si>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</si>
  <si>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</si>
  <si>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</si>
  <si>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</si>
  <si>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</si>
  <si>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</si>
  <si>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</si>
  <si>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</si>
  <si>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</si>
  <si>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</si>
  <si>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</si>
  <si>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</si>
  <si>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</si>
  <si>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</si>
  <si>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</si>
  <si>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</si>
  <si>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</si>
  <si>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</si>
  <si>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</si>
  <si>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</si>
  <si>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</si>
  <si>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</si>
  <si>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</si>
  <si>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</si>
  <si>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</si>
  <si>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</si>
  <si>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</si>
  <si>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</si>
  <si>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</si>
  <si>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</si>
  <si>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</si>
  <si>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</si>
  <si>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</si>
  <si>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</si>
  <si>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</si>
  <si>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</si>
  <si>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</si>
  <si>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</si>
  <si>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</si>
  <si>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</si>
  <si>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</si>
  <si>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</si>
  <si>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</si>
  <si>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</si>
  <si>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</si>
  <si>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</si>
  <si>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</si>
  <si>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</si>
  <si>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</si>
  <si>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</si>
  <si>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</si>
  <si>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</si>
  <si>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</si>
  <si>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</si>
  <si>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</si>
  <si>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</si>
  <si>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</si>
  <si>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</si>
  <si>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</si>
  <si>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</si>
  <si>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</si>
  <si>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</si>
  <si>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</si>
  <si>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</si>
  <si>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</si>
  <si>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</si>
  <si>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</si>
  <si>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</si>
  <si>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</si>
  <si>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</si>
  <si>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</si>
  <si>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</si>
  <si>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</si>
  <si>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</si>
  <si>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</si>
  <si>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</si>
  <si>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</si>
  <si>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</si>
  <si>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</si>
  <si>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</si>
  <si>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</si>
  <si>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</si>
  <si>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</si>
  <si>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</si>
  <si>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</si>
  <si>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</si>
  <si>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</si>
  <si>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</si>
  <si>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</si>
  <si>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</si>
  <si>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</si>
  <si>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</si>
  <si>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</si>
  <si>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</si>
  <si>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</si>
  <si>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</si>
  <si>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</si>
  <si>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</si>
  <si>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</si>
  <si>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</si>
  <si>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</si>
  <si>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</si>
  <si>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</si>
  <si>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</si>
  <si>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</si>
  <si>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</si>
  <si>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</si>
  <si>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</si>
  <si>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</si>
  <si>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</si>
  <si>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</si>
  <si>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</si>
  <si>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</si>
  <si>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</si>
  <si>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</si>
  <si>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</si>
  <si>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</si>
  <si>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</si>
  <si>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</si>
  <si>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</si>
  <si>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</si>
  <si>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</si>
  <si>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</si>
  <si>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</si>
  <si>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</si>
  <si>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</si>
  <si>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</si>
  <si>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</si>
  <si>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</si>
  <si>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</si>
  <si>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</si>
  <si>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</si>
  <si>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</si>
  <si>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</si>
  <si>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</si>
  <si>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</si>
  <si>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</si>
  <si>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</si>
  <si>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</si>
  <si>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</si>
  <si>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</si>
  <si>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</si>
  <si>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</si>
  <si>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</si>
  <si>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</si>
  <si>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</si>
  <si>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</si>
  <si>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</si>
  <si>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</si>
  <si>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</si>
  <si>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</si>
  <si>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</si>
  <si>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</si>
  <si>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</si>
  <si>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</si>
  <si>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</si>
  <si>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</si>
  <si>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</si>
  <si>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</si>
  <si>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</si>
  <si>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</si>
  <si>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</si>
  <si>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</si>
  <si>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</si>
  <si>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</si>
  <si>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</si>
  <si>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</si>
  <si>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</si>
  <si>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</si>
  <si>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</si>
  <si>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</si>
  <si>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</si>
  <si>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</si>
  <si>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</si>
  <si>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</si>
  <si>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</si>
  <si>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</si>
  <si>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</si>
  <si>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</si>
  <si>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</si>
  <si>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</si>
  <si>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</si>
  <si>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</si>
  <si>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</si>
  <si>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</si>
  <si>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</si>
  <si>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</si>
  <si>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</si>
  <si>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</si>
  <si>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</si>
  <si>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</si>
  <si>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</si>
  <si>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</si>
  <si>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</si>
  <si>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</si>
  <si>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</si>
  <si>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</si>
  <si>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</si>
  <si>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</si>
  <si>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</si>
  <si>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</si>
  <si>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</si>
  <si>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</si>
  <si>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</si>
  <si>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</si>
  <si>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</si>
  <si>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</si>
  <si>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</si>
  <si>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</si>
  <si>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</si>
  <si>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</si>
  <si>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</si>
  <si>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</si>
  <si>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</si>
  <si>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</si>
  <si>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</si>
  <si>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</si>
  <si>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</si>
  <si>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</si>
  <si>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</si>
  <si>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</si>
  <si>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</si>
  <si>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</si>
  <si>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</si>
  <si>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</si>
  <si>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</si>
  <si>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</si>
  <si>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</si>
  <si>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</si>
  <si>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</si>
  <si>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</si>
  <si>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</si>
  <si>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</si>
  <si>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</si>
  <si>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</si>
  <si>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</si>
  <si>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</si>
  <si>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</si>
  <si>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</si>
  <si>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</si>
  <si>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</si>
  <si>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</si>
  <si>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</si>
  <si>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</si>
  <si>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</si>
  <si>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</si>
  <si>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</si>
  <si>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</si>
  <si>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</si>
  <si>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</si>
  <si>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</si>
  <si>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</si>
  <si>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</si>
  <si>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</si>
  <si>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</si>
  <si>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</si>
  <si>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</si>
  <si>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</si>
  <si>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</si>
  <si>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</si>
  <si>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</si>
  <si>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</si>
  <si>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</si>
  <si>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</si>
  <si>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</si>
  <si>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</si>
  <si>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</si>
  <si>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</si>
  <si>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</si>
  <si>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</si>
  <si>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</si>
  <si>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</si>
  <si>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</si>
  <si>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</si>
  <si>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</si>
  <si>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</si>
  <si>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</si>
  <si>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</si>
  <si>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</si>
  <si>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</si>
  <si>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</si>
  <si>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</si>
  <si>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</si>
  <si>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</si>
  <si>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</si>
  <si>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</si>
  <si>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</si>
  <si>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</si>
  <si>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</si>
  <si>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</si>
  <si>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</si>
  <si>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</si>
  <si>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</si>
  <si>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</si>
  <si>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</si>
  <si>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</si>
  <si>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</si>
  <si>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</si>
  <si>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</si>
  <si>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</si>
  <si>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</si>
  <si>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</si>
  <si>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</si>
  <si>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</si>
  <si>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</si>
  <si>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</si>
  <si>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</si>
  <si>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</si>
  <si>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</si>
  <si>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</si>
  <si>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</si>
  <si>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</si>
  <si>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</si>
  <si>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</si>
  <si>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</si>
  <si>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</si>
  <si>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</si>
  <si>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</si>
  <si>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</si>
  <si>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</si>
  <si>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</si>
  <si>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</si>
  <si>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</si>
  <si>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</si>
  <si>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</si>
  <si>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</si>
  <si>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</si>
  <si>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</si>
  <si>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</si>
  <si>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</si>
  <si>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</si>
  <si>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</si>
  <si>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</si>
  <si>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</si>
  <si>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</si>
  <si>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</si>
  <si>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</si>
  <si>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</si>
  <si>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</si>
  <si>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</si>
  <si>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</si>
  <si>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</si>
  <si>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</si>
  <si>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</si>
  <si>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</si>
  <si>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</si>
  <si>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</si>
  <si>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</si>
  <si>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</si>
  <si>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</si>
  <si>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</si>
  <si>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</si>
  <si>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</si>
  <si>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</si>
  <si>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</si>
  <si>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</si>
  <si>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</si>
  <si>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</si>
  <si>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</si>
  <si>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</si>
  <si>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</si>
  <si>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</si>
  <si>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</si>
  <si>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</si>
  <si>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</si>
  <si>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Տրանսպորտային նյութեր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</si>
  <si>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</si>
  <si>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</si>
  <si>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</si>
  <si>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</si>
  <si>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</si>
  <si>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</si>
  <si>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</si>
  <si>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</si>
  <si>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</si>
  <si>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</si>
  <si>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</si>
  <si>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</si>
  <si>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</si>
  <si>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</si>
  <si>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</si>
  <si>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</si>
  <si>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</si>
  <si>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</si>
  <si>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</si>
  <si>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</si>
  <si>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</si>
  <si>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</si>
  <si>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</si>
  <si>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</si>
  <si>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</si>
  <si>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</si>
  <si>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</si>
  <si>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</si>
  <si>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</si>
  <si>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</si>
  <si>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</si>
  <si>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</si>
  <si>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</si>
  <si>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</si>
  <si>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</si>
  <si>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</si>
  <si>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</si>
  <si>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</si>
  <si>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</si>
  <si>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</si>
  <si>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</si>
  <si>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</si>
  <si>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</si>
  <si>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</si>
  <si>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</si>
  <si>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</si>
  <si>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</si>
  <si>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</si>
  <si>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</si>
  <si>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</si>
  <si>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</si>
  <si>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</si>
  <si>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</si>
  <si>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</si>
  <si>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</si>
  <si>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</si>
  <si>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</si>
  <si>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</si>
  <si>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</si>
  <si>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</si>
  <si>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</si>
  <si>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</si>
  <si>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</si>
  <si>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</si>
  <si>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</si>
  <si>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</si>
  <si>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</si>
  <si>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</si>
  <si>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</si>
  <si>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</si>
  <si>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</si>
  <si>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</si>
  <si>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</si>
  <si>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</si>
  <si>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</si>
  <si>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</si>
  <si>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</si>
  <si>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</si>
  <si>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</si>
  <si>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</si>
  <si>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</si>
  <si>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</si>
  <si>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</si>
  <si>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</si>
  <si>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</si>
  <si>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</si>
  <si>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</si>
  <si>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</si>
  <si>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</si>
  <si>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</si>
  <si>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</si>
  <si>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</si>
  <si>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</si>
  <si>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</si>
  <si>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</si>
  <si>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</si>
  <si>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</si>
  <si>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</si>
  <si>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</si>
  <si>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</si>
  <si>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</si>
  <si>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</si>
  <si>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</si>
  <si>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</si>
  <si>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</si>
  <si>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</si>
  <si>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</si>
  <si>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</si>
  <si>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</si>
  <si>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</si>
  <si>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</si>
  <si>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</si>
  <si>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</si>
  <si>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</si>
  <si>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</si>
  <si>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</si>
  <si>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</si>
  <si>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</si>
  <si>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</si>
  <si>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</si>
  <si>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</si>
  <si>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</si>
  <si>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</si>
  <si>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</si>
  <si>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</si>
  <si>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</si>
  <si>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</si>
  <si>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</si>
  <si>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</si>
  <si>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</si>
  <si>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</si>
  <si>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</si>
  <si>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</si>
  <si>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</si>
  <si>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</si>
  <si>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</si>
  <si>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</si>
  <si>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</si>
  <si>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</si>
  <si>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</si>
  <si>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</si>
  <si>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</si>
  <si>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</si>
  <si>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</si>
  <si>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</si>
  <si>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</si>
  <si>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</si>
  <si>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</si>
  <si>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</si>
  <si>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</si>
  <si>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</si>
  <si>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</si>
  <si>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</si>
  <si>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</si>
  <si>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</si>
  <si>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</si>
  <si>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</si>
  <si>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</si>
  <si>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</si>
  <si>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</si>
  <si>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</si>
  <si>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</si>
  <si>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</si>
  <si>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</si>
  <si>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</si>
  <si>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</si>
  <si>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</si>
  <si>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</si>
  <si>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</si>
  <si>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</si>
  <si>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</si>
  <si>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</si>
  <si>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</si>
  <si>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</si>
  <si>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</si>
  <si>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</si>
  <si>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</si>
  <si>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</si>
  <si>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</si>
  <si>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</si>
  <si>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</si>
  <si>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</si>
  <si>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</si>
  <si>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</si>
  <si>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</si>
  <si>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</si>
  <si>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</si>
  <si>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</si>
  <si>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</si>
  <si>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</si>
  <si>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</si>
  <si>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</si>
  <si>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</si>
  <si>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</si>
  <si>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</si>
  <si>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</si>
  <si>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</si>
  <si>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</si>
  <si>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</si>
  <si>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</si>
  <si>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</si>
  <si>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</si>
  <si>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</si>
  <si>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</si>
  <si>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</si>
  <si>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</si>
  <si>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</si>
  <si>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</si>
  <si>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</si>
  <si>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</si>
  <si>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</si>
  <si>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</si>
  <si>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</si>
  <si>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</si>
  <si>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</si>
  <si>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</si>
  <si>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</si>
  <si>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</si>
  <si>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</si>
  <si>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</si>
  <si>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</si>
  <si>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</si>
  <si>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</si>
  <si>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</si>
  <si>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</si>
  <si>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</si>
  <si>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</si>
  <si>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</si>
  <si>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</si>
  <si>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</si>
  <si>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</si>
  <si>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</si>
  <si>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</si>
  <si>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</si>
  <si>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</si>
  <si>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</si>
  <si>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</si>
  <si>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</si>
  <si>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</si>
  <si>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</si>
  <si>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</si>
  <si>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</si>
  <si>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</si>
  <si>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</si>
  <si>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</si>
  <si>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</si>
  <si>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</si>
  <si>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</si>
  <si>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</si>
  <si>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</si>
  <si>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</si>
  <si>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</si>
  <si>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</si>
  <si>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</si>
  <si>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</si>
  <si>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</si>
  <si>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</si>
  <si>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</si>
  <si>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</si>
  <si>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</si>
  <si>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</si>
  <si>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</si>
  <si>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</si>
  <si>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</si>
  <si>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</si>
  <si>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</si>
  <si>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</si>
  <si>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</si>
  <si>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</si>
  <si>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</si>
  <si>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</si>
  <si>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</si>
  <si>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</si>
  <si>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</si>
  <si>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</si>
  <si>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</si>
  <si>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</si>
  <si>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</si>
  <si>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</si>
  <si>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</si>
  <si>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</si>
  <si>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 Ընթացիկ դրամաշնորհներ պետական և համայնքների ոչ առևտրային կազմակերպություններին</t>
  </si>
  <si>
    <t>Այլ մեքենաներ և սարքավորումներ</t>
  </si>
  <si>
    <t>Համայնքի տարածքում սահմանափակման ենթակա ծառայության օբյեկտի գործունեության թույլտվության համար</t>
  </si>
  <si>
    <t>Պարգևատրումներ, դրամական խրախուսումներ և հատուկ վճարներ</t>
  </si>
  <si>
    <t>Համակարգչային ծառայություններ</t>
  </si>
  <si>
    <t>Շենքերի և կառույցների ընթացիկ նորոգում և պահպանում</t>
  </si>
  <si>
    <t>Այլ կապիտալ դրամաշնորհներ</t>
  </si>
  <si>
    <t xml:space="preserve">  N  31-Ն   որոշման»</t>
  </si>
  <si>
    <t xml:space="preserve">Գյումրի համայնքի ավագանու 2025թ.հունիսի 20-ի </t>
  </si>
  <si>
    <t>«Հավելված՝</t>
  </si>
  <si>
    <t>Հավելված 1՝</t>
  </si>
  <si>
    <t xml:space="preserve">Գյումրի համայնքի ավագանու 2025թօգոստոսի     .-ի </t>
  </si>
  <si>
    <t xml:space="preserve">                                                               N    - Ն   որոշման</t>
  </si>
  <si>
    <t>Հավելված 2՝</t>
  </si>
  <si>
    <t>Հավելված 3՝</t>
  </si>
  <si>
    <t>Հավելված 5՝</t>
  </si>
  <si>
    <t>Հավելված 6՝</t>
  </si>
  <si>
    <t>Հավելված 4՝</t>
  </si>
  <si>
    <t xml:space="preserve">Գյումրի համայնքի ավագանու 2025թդեկտեմբերի  .-ի </t>
  </si>
  <si>
    <t xml:space="preserve">Գյումրի համայնքի ավագանու 2025թդեկտեմբերի .-ի </t>
  </si>
  <si>
    <t xml:space="preserve">Գյումրի համայնքի ավագանու 2025թ դեկտեմբերի    .-ի </t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</si>
</sst>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  <numFmt numFmtId="168" formatCode="#,##0.0000"/>
  </numFmts>
  <fonts count="34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4" fillId="0" borderId="28" applyNumberFormat="0" applyFont="0" applyFill="0" applyAlignment="0" applyProtection="0"/>
    <xf numFmtId="0" fontId="25" fillId="0" borderId="29" applyNumberFormat="0" applyFill="0" applyProtection="0">
      <alignment horizontal="center" vertical="center"/>
    </xf>
    <xf numFmtId="0" fontId="26" fillId="0" borderId="28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5" fillId="0" borderId="29" applyNumberFormat="0" applyFill="0" applyProtection="0">
      <alignment horizontal="left" vertical="center" wrapText="1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" fontId="27" fillId="0" borderId="30" applyFill="0" applyProtection="0">
      <alignment horizontal="right" vertical="center"/>
    </xf>
    <xf numFmtId="0" fontId="15" fillId="0" borderId="0"/>
  </cellStyleXfs>
  <cellXfs count="309">
    <xf numFmtId="0" fontId="0" fillId="0" borderId="0" xfId="0"/>
    <xf numFmtId="0" fontId="29" fillId="0" borderId="0" xfId="0" applyFont="1"/>
    <xf numFmtId="0" fontId="1" fillId="0" borderId="0" xfId="0" applyFont="1" applyFill="1"/>
    <xf numFmtId="0" fontId="1" fillId="0" borderId="0" xfId="0" applyFont="1"/>
    <xf numFmtId="0" fontId="2" fillId="0" borderId="0" xfId="0" applyFont="1" applyFill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Fill="1" applyBorder="1" applyAlignment="1" applyProtection="1">
      <alignment horizontal="center" vertical="top" wrapText="1"/>
      <protection hidden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9" fillId="0" borderId="7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0" xfId="0" applyFont="1" applyFill="1" applyBorder="1"/>
    <xf numFmtId="165" fontId="9" fillId="0" borderId="0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165" fontId="4" fillId="0" borderId="0" xfId="0" applyNumberFormat="1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14" fillId="0" borderId="0" xfId="0" applyFont="1" applyFill="1" applyBorder="1" applyProtection="1">
      <protection hidden="1"/>
    </xf>
    <xf numFmtId="49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1" xfId="0" applyNumberFormat="1" applyFont="1" applyFill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Fill="1" applyBorder="1" applyAlignment="1" applyProtection="1">
      <alignment horizontal="left" vertical="center"/>
      <protection hidden="1"/>
    </xf>
    <xf numFmtId="49" fontId="1" fillId="0" borderId="1" xfId="0" applyNumberFormat="1" applyFont="1" applyFill="1" applyBorder="1" applyAlignment="1" applyProtection="1">
      <alignment horizontal="center" wrapText="1"/>
      <protection hidden="1"/>
    </xf>
    <xf numFmtId="0" fontId="1" fillId="0" borderId="14" xfId="11" applyFont="1" applyFill="1" applyBorder="1" applyAlignment="1">
      <alignment horizontal="center" vertical="center" wrapText="1"/>
    </xf>
    <xf numFmtId="0" fontId="1" fillId="0" borderId="15" xfId="11" applyFont="1" applyFill="1" applyBorder="1" applyAlignment="1">
      <alignment horizontal="center" vertical="center" wrapText="1"/>
    </xf>
    <xf numFmtId="0" fontId="1" fillId="0" borderId="1" xfId="11" applyFont="1" applyFill="1" applyBorder="1" applyAlignment="1">
      <alignment horizontal="center" vertical="center" wrapText="1"/>
    </xf>
    <xf numFmtId="0" fontId="1" fillId="0" borderId="11" xfId="11" applyFont="1" applyFill="1" applyBorder="1" applyAlignment="1">
      <alignment horizontal="center" vertical="center" wrapText="1"/>
    </xf>
    <xf numFmtId="164" fontId="2" fillId="0" borderId="16" xfId="11" applyNumberFormat="1" applyFont="1" applyFill="1" applyBorder="1" applyAlignment="1">
      <alignment horizontal="center" vertical="center" wrapText="1"/>
    </xf>
    <xf numFmtId="164" fontId="2" fillId="0" borderId="4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vertical="center" wrapText="1"/>
    </xf>
    <xf numFmtId="164" fontId="1" fillId="0" borderId="1" xfId="11" applyNumberFormat="1" applyFont="1" applyFill="1" applyBorder="1" applyAlignment="1">
      <alignment horizontal="center" vertical="center"/>
    </xf>
    <xf numFmtId="0" fontId="1" fillId="0" borderId="1" xfId="11" applyFont="1" applyFill="1" applyBorder="1" applyAlignment="1">
      <alignment vertical="center" wrapText="1"/>
    </xf>
    <xf numFmtId="1" fontId="1" fillId="0" borderId="1" xfId="11" applyNumberFormat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vertical="center" wrapText="1"/>
    </xf>
    <xf numFmtId="1" fontId="2" fillId="0" borderId="1" xfId="11" applyNumberFormat="1" applyFont="1" applyFill="1" applyBorder="1" applyAlignment="1">
      <alignment horizontal="center" vertical="center" wrapText="1"/>
    </xf>
    <xf numFmtId="164" fontId="2" fillId="0" borderId="1" xfId="11" applyNumberFormat="1" applyFont="1" applyFill="1" applyBorder="1" applyAlignment="1">
      <alignment horizontal="center" vertical="center" wrapText="1"/>
    </xf>
    <xf numFmtId="0" fontId="2" fillId="0" borderId="1" xfId="11" applyNumberFormat="1" applyFont="1" applyFill="1" applyBorder="1" applyAlignment="1">
      <alignment vertical="center" wrapText="1"/>
    </xf>
    <xf numFmtId="0" fontId="1" fillId="0" borderId="1" xfId="11" applyNumberFormat="1" applyFont="1" applyFill="1" applyBorder="1" applyAlignment="1">
      <alignment horizontal="left" vertical="center" wrapText="1"/>
    </xf>
    <xf numFmtId="0" fontId="1" fillId="0" borderId="0" xfId="11" applyFont="1" applyFill="1" applyAlignment="1">
      <alignment vertical="center" wrapText="1"/>
    </xf>
    <xf numFmtId="0" fontId="2" fillId="0" borderId="17" xfId="11" applyFont="1" applyFill="1" applyBorder="1" applyAlignment="1">
      <alignment horizontal="center" wrapText="1"/>
    </xf>
    <xf numFmtId="0" fontId="1" fillId="0" borderId="0" xfId="11" applyFont="1" applyFill="1" applyBorder="1" applyAlignment="1">
      <alignment horizontal="center" vertical="center" wrapText="1"/>
    </xf>
    <xf numFmtId="49" fontId="8" fillId="0" borderId="1" xfId="11" applyNumberFormat="1" applyFont="1" applyFill="1" applyBorder="1" applyAlignment="1">
      <alignment horizontal="justify" vertical="center" wrapText="1"/>
    </xf>
    <xf numFmtId="0" fontId="16" fillId="0" borderId="0" xfId="0" applyFont="1"/>
    <xf numFmtId="0" fontId="1" fillId="0" borderId="0" xfId="0" applyFont="1" applyBorder="1" applyAlignment="1" applyProtection="1">
      <alignment horizontal="center"/>
      <protection hidden="1"/>
    </xf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164" fontId="17" fillId="0" borderId="0" xfId="0" applyNumberFormat="1" applyFont="1" applyFill="1" applyBorder="1" applyAlignment="1">
      <alignment horizontal="right" wrapText="1"/>
    </xf>
    <xf numFmtId="167" fontId="17" fillId="0" borderId="0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wrapText="1"/>
    </xf>
    <xf numFmtId="167" fontId="17" fillId="0" borderId="0" xfId="0" applyNumberFormat="1" applyFont="1" applyFill="1" applyBorder="1" applyAlignment="1">
      <alignment wrapText="1"/>
    </xf>
    <xf numFmtId="0" fontId="18" fillId="0" borderId="0" xfId="0" applyFont="1"/>
    <xf numFmtId="0" fontId="17" fillId="0" borderId="0" xfId="0" applyFont="1" applyBorder="1"/>
    <xf numFmtId="0" fontId="16" fillId="0" borderId="0" xfId="0" applyFont="1" applyBorder="1"/>
    <xf numFmtId="49" fontId="19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30" fillId="0" borderId="0" xfId="0" applyFont="1"/>
    <xf numFmtId="0" fontId="29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0" fillId="2" borderId="1" xfId="0" applyFont="1" applyFill="1" applyBorder="1" applyAlignment="1" applyProtection="1">
      <alignment horizontal="center" wrapText="1"/>
      <protection hidden="1"/>
    </xf>
    <xf numFmtId="0" fontId="20" fillId="0" borderId="0" xfId="0" applyFont="1" applyProtection="1">
      <protection hidden="1"/>
    </xf>
    <xf numFmtId="49" fontId="20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0" fillId="2" borderId="4" xfId="0" applyFont="1" applyFill="1" applyBorder="1" applyAlignment="1" applyProtection="1">
      <alignment horizontal="center"/>
      <protection hidden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0" fillId="0" borderId="8" xfId="0" applyFont="1" applyBorder="1" applyAlignment="1" applyProtection="1">
      <alignment horizontal="center"/>
      <protection hidden="1"/>
    </xf>
    <xf numFmtId="0" fontId="30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49" fontId="23" fillId="0" borderId="1" xfId="0" applyNumberFormat="1" applyFont="1" applyFill="1" applyBorder="1" applyAlignment="1" applyProtection="1">
      <alignment horizontal="center" wrapText="1"/>
      <protection hidden="1"/>
    </xf>
    <xf numFmtId="0" fontId="22" fillId="0" borderId="1" xfId="0" applyNumberFormat="1" applyFont="1" applyBorder="1" applyAlignment="1" applyProtection="1">
      <alignment horizontal="center" wrapText="1"/>
      <protection hidden="1"/>
    </xf>
    <xf numFmtId="0" fontId="1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1" fillId="0" borderId="1" xfId="11" applyFont="1" applyFill="1" applyBorder="1" applyAlignment="1">
      <alignment horizontal="left" vertical="center" wrapText="1"/>
    </xf>
    <xf numFmtId="0" fontId="1" fillId="0" borderId="0" xfId="11" applyFont="1" applyFill="1" applyAlignment="1">
      <alignment horizontal="center" vertical="center" wrapText="1"/>
    </xf>
    <xf numFmtId="0" fontId="1" fillId="2" borderId="0" xfId="11" applyFont="1" applyFill="1" applyAlignment="1">
      <alignment vertical="center" wrapText="1"/>
    </xf>
    <xf numFmtId="0" fontId="1" fillId="2" borderId="0" xfId="11" applyFont="1" applyFill="1" applyAlignment="1">
      <alignment horizontal="center" vertical="center" wrapText="1"/>
    </xf>
    <xf numFmtId="0" fontId="1" fillId="0" borderId="0" xfId="11" applyFont="1" applyAlignment="1">
      <alignment vertical="center" wrapText="1"/>
    </xf>
    <xf numFmtId="0" fontId="9" fillId="0" borderId="0" xfId="11" applyFont="1" applyFill="1" applyBorder="1" applyAlignment="1">
      <alignment horizontal="center" vertical="center" wrapText="1"/>
    </xf>
    <xf numFmtId="49" fontId="1" fillId="0" borderId="11" xfId="11" applyNumberFormat="1" applyFont="1" applyFill="1" applyBorder="1" applyAlignment="1">
      <alignment horizontal="center" vertical="center" wrapText="1"/>
    </xf>
    <xf numFmtId="0" fontId="2" fillId="0" borderId="1" xfId="11" quotePrefix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center" vertical="center" wrapText="1"/>
    </xf>
    <xf numFmtId="49" fontId="1" fillId="0" borderId="1" xfId="11" quotePrefix="1" applyNumberFormat="1" applyFont="1" applyFill="1" applyBorder="1" applyAlignment="1">
      <alignment horizontal="center" vertical="center" wrapText="1"/>
    </xf>
    <xf numFmtId="164" fontId="1" fillId="0" borderId="1" xfId="11" applyNumberFormat="1" applyFont="1" applyFill="1" applyBorder="1" applyAlignment="1">
      <alignment horizontal="center" vertical="center" wrapText="1"/>
    </xf>
    <xf numFmtId="0" fontId="1" fillId="0" borderId="1" xfId="11" quotePrefix="1" applyNumberFormat="1" applyFont="1" applyFill="1" applyBorder="1" applyAlignment="1">
      <alignment horizontal="center" vertical="center" wrapText="1"/>
    </xf>
    <xf numFmtId="0" fontId="2" fillId="0" borderId="1" xfId="11" quotePrefix="1" applyNumberFormat="1" applyFont="1" applyFill="1" applyBorder="1" applyAlignment="1">
      <alignment horizontal="center" vertical="center" wrapText="1"/>
    </xf>
    <xf numFmtId="49" fontId="1" fillId="0" borderId="1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Continuous" vertical="center" wrapText="1"/>
    </xf>
    <xf numFmtId="164" fontId="1" fillId="0" borderId="1" xfId="11" applyNumberFormat="1" applyFont="1" applyFill="1" applyBorder="1" applyAlignment="1" applyProtection="1">
      <alignment horizontal="center" vertical="center" wrapText="1"/>
    </xf>
    <xf numFmtId="49" fontId="1" fillId="0" borderId="1" xfId="11" quotePrefix="1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/>
    <xf numFmtId="164" fontId="2" fillId="0" borderId="1" xfId="0" applyNumberFormat="1" applyFont="1" applyFill="1" applyBorder="1" applyAlignment="1">
      <alignment horizontal="center" vertical="center"/>
    </xf>
    <xf numFmtId="0" fontId="25" fillId="0" borderId="29" xfId="2" applyFont="1" applyFill="1" applyBorder="1" applyAlignment="1">
      <alignment horizontal="center" vertical="center"/>
    </xf>
    <xf numFmtId="164" fontId="1" fillId="0" borderId="0" xfId="11" applyNumberFormat="1" applyFont="1" applyFill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center"/>
    </xf>
    <xf numFmtId="164" fontId="2" fillId="0" borderId="31" xfId="0" applyNumberFormat="1" applyFont="1" applyFill="1" applyBorder="1" applyAlignment="1">
      <alignment horizontal="center" vertical="center"/>
    </xf>
    <xf numFmtId="164" fontId="2" fillId="0" borderId="33" xfId="0" applyNumberFormat="1" applyFont="1" applyFill="1" applyBorder="1" applyAlignment="1">
      <alignment horizontal="center" vertical="center"/>
    </xf>
    <xf numFmtId="164" fontId="2" fillId="0" borderId="34" xfId="0" applyNumberFormat="1" applyFont="1" applyFill="1" applyBorder="1" applyAlignment="1">
      <alignment horizontal="center" vertical="center"/>
    </xf>
    <xf numFmtId="164" fontId="2" fillId="0" borderId="35" xfId="0" applyNumberFormat="1" applyFont="1" applyFill="1" applyBorder="1" applyAlignment="1">
      <alignment horizontal="center" vertical="center"/>
    </xf>
    <xf numFmtId="164" fontId="1" fillId="0" borderId="36" xfId="0" applyNumberFormat="1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/>
    </xf>
    <xf numFmtId="164" fontId="1" fillId="0" borderId="36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/>
    </xf>
    <xf numFmtId="164" fontId="1" fillId="0" borderId="37" xfId="0" applyNumberFormat="1" applyFont="1" applyFill="1" applyBorder="1" applyAlignment="1">
      <alignment horizontal="center" vertical="center"/>
    </xf>
    <xf numFmtId="164" fontId="1" fillId="0" borderId="32" xfId="0" applyNumberFormat="1" applyFont="1" applyFill="1" applyBorder="1" applyAlignment="1">
      <alignment horizontal="center" vertical="center"/>
    </xf>
    <xf numFmtId="164" fontId="1" fillId="0" borderId="31" xfId="0" applyNumberFormat="1" applyFont="1" applyFill="1" applyBorder="1" applyAlignment="1">
      <alignment horizontal="center" vertical="center"/>
    </xf>
    <xf numFmtId="164" fontId="1" fillId="0" borderId="16" xfId="0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horizontal="center" vertical="center"/>
    </xf>
    <xf numFmtId="164" fontId="1" fillId="0" borderId="20" xfId="0" applyNumberFormat="1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164" fontId="1" fillId="0" borderId="12" xfId="0" applyNumberFormat="1" applyFont="1" applyFill="1" applyBorder="1" applyAlignment="1">
      <alignment horizontal="center" vertical="center"/>
    </xf>
    <xf numFmtId="164" fontId="1" fillId="0" borderId="39" xfId="0" applyNumberFormat="1" applyFont="1" applyFill="1" applyBorder="1" applyAlignment="1">
      <alignment horizontal="center" vertical="center" wrapText="1"/>
    </xf>
    <xf numFmtId="164" fontId="1" fillId="0" borderId="40" xfId="0" applyNumberFormat="1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/>
    </xf>
    <xf numFmtId="164" fontId="2" fillId="0" borderId="41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164" fontId="2" fillId="0" borderId="34" xfId="0" applyNumberFormat="1" applyFont="1" applyFill="1" applyBorder="1" applyAlignment="1">
      <alignment horizontal="center" vertical="center" wrapText="1"/>
    </xf>
    <xf numFmtId="164" fontId="2" fillId="0" borderId="42" xfId="0" applyNumberFormat="1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33" xfId="0" applyNumberFormat="1" applyFont="1" applyFill="1" applyBorder="1" applyAlignment="1">
      <alignment horizontal="center" vertical="center" wrapText="1"/>
    </xf>
    <xf numFmtId="164" fontId="2" fillId="0" borderId="35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164" fontId="2" fillId="0" borderId="40" xfId="0" applyNumberFormat="1" applyFont="1" applyFill="1" applyBorder="1" applyAlignment="1">
      <alignment horizontal="center" vertical="center"/>
    </xf>
    <xf numFmtId="164" fontId="1" fillId="0" borderId="33" xfId="0" applyNumberFormat="1" applyFont="1" applyFill="1" applyBorder="1" applyAlignment="1">
      <alignment horizontal="center" vertical="center"/>
    </xf>
    <xf numFmtId="164" fontId="1" fillId="0" borderId="34" xfId="0" applyNumberFormat="1" applyFont="1" applyFill="1" applyBorder="1" applyAlignment="1">
      <alignment horizontal="center" vertical="center"/>
    </xf>
    <xf numFmtId="164" fontId="1" fillId="0" borderId="35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/>
    </xf>
    <xf numFmtId="164" fontId="1" fillId="0" borderId="43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11" applyFont="1" applyFill="1" applyAlignment="1">
      <alignment wrapText="1"/>
    </xf>
    <xf numFmtId="0" fontId="1" fillId="0" borderId="0" xfId="11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3" fillId="0" borderId="0" xfId="0" applyFont="1" applyFill="1"/>
    <xf numFmtId="0" fontId="1" fillId="0" borderId="0" xfId="0" applyFont="1" applyFill="1" applyAlignment="1">
      <alignment vertical="top"/>
    </xf>
    <xf numFmtId="0" fontId="29" fillId="0" borderId="0" xfId="0" applyFont="1" applyFill="1"/>
    <xf numFmtId="0" fontId="2" fillId="0" borderId="0" xfId="11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168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167" fontId="1" fillId="0" borderId="0" xfId="0" applyNumberFormat="1" applyFont="1" applyFill="1"/>
    <xf numFmtId="167" fontId="5" fillId="0" borderId="8" xfId="0" applyNumberFormat="1" applyFont="1" applyFill="1" applyBorder="1" applyAlignment="1" applyProtection="1">
      <alignment vertical="center"/>
      <protection hidden="1"/>
    </xf>
    <xf numFmtId="167" fontId="5" fillId="0" borderId="2" xfId="0" applyNumberFormat="1" applyFont="1" applyFill="1" applyBorder="1" applyAlignment="1" applyProtection="1">
      <alignment vertical="center"/>
      <protection hidden="1"/>
    </xf>
    <xf numFmtId="164" fontId="1" fillId="0" borderId="0" xfId="11" applyNumberFormat="1" applyFont="1" applyFill="1" applyAlignment="1">
      <alignment vertical="center" wrapText="1"/>
    </xf>
    <xf numFmtId="0" fontId="7" fillId="0" borderId="0" xfId="0" applyFont="1" applyFill="1" applyBorder="1" applyAlignment="1" applyProtection="1">
      <alignment vertical="top"/>
      <protection hidden="1"/>
    </xf>
    <xf numFmtId="164" fontId="1" fillId="0" borderId="0" xfId="0" applyNumberFormat="1" applyFont="1" applyFill="1" applyAlignment="1">
      <alignment vertical="center" wrapText="1"/>
    </xf>
    <xf numFmtId="0" fontId="9" fillId="0" borderId="13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 wrapText="1"/>
    </xf>
    <xf numFmtId="4" fontId="1" fillId="0" borderId="0" xfId="11" applyNumberFormat="1" applyFont="1" applyFill="1" applyAlignment="1">
      <alignment horizontal="center" vertical="center" wrapText="1"/>
    </xf>
    <xf numFmtId="0" fontId="1" fillId="0" borderId="22" xfId="11" applyFont="1" applyFill="1" applyBorder="1" applyAlignment="1">
      <alignment horizontal="center" vertical="center" wrapText="1"/>
    </xf>
    <xf numFmtId="0" fontId="1" fillId="0" borderId="12" xfId="11" applyFont="1" applyFill="1" applyBorder="1" applyAlignment="1">
      <alignment horizontal="center" vertical="center" wrapText="1"/>
    </xf>
    <xf numFmtId="0" fontId="1" fillId="0" borderId="13" xfId="1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 applyProtection="1">
      <alignment horizontal="left" vertical="center" wrapText="1" readingOrder="1"/>
      <protection hidden="1"/>
    </xf>
    <xf numFmtId="164" fontId="1" fillId="0" borderId="1" xfId="4" applyNumberFormat="1" applyFont="1" applyFill="1" applyBorder="1" applyAlignment="1">
      <alignment horizontal="center" vertical="center" wrapText="1"/>
    </xf>
    <xf numFmtId="0" fontId="1" fillId="0" borderId="22" xfId="11" applyFont="1" applyFill="1" applyBorder="1" applyAlignment="1">
      <alignment horizontal="center" vertical="center" wrapText="1"/>
    </xf>
    <xf numFmtId="0" fontId="1" fillId="0" borderId="12" xfId="11" applyFont="1" applyFill="1" applyBorder="1" applyAlignment="1">
      <alignment horizontal="center" vertical="center" wrapText="1"/>
    </xf>
    <xf numFmtId="0" fontId="1" fillId="0" borderId="13" xfId="11" applyFont="1" applyFill="1" applyBorder="1" applyAlignment="1">
      <alignment horizontal="center" vertical="center" wrapText="1"/>
    </xf>
    <xf numFmtId="0" fontId="14" fillId="0" borderId="0" xfId="11" applyFont="1" applyFill="1" applyAlignment="1">
      <alignment horizontal="center" vertical="center" wrapText="1"/>
    </xf>
    <xf numFmtId="0" fontId="2" fillId="0" borderId="8" xfId="11" applyFont="1" applyFill="1" applyBorder="1" applyAlignment="1">
      <alignment horizontal="center" wrapText="1"/>
    </xf>
    <xf numFmtId="0" fontId="2" fillId="0" borderId="23" xfId="11" applyFont="1" applyFill="1" applyBorder="1" applyAlignment="1">
      <alignment horizontal="center" wrapText="1"/>
    </xf>
    <xf numFmtId="0" fontId="2" fillId="0" borderId="2" xfId="11" applyFont="1" applyFill="1" applyBorder="1" applyAlignment="1">
      <alignment horizontal="center" wrapText="1"/>
    </xf>
    <xf numFmtId="0" fontId="1" fillId="0" borderId="24" xfId="11" applyFont="1" applyFill="1" applyBorder="1" applyAlignment="1">
      <alignment horizontal="center" vertical="center" wrapText="1"/>
    </xf>
    <xf numFmtId="0" fontId="1" fillId="0" borderId="25" xfId="11" applyFont="1" applyFill="1" applyBorder="1" applyAlignment="1">
      <alignment horizontal="center" vertical="center" wrapText="1"/>
    </xf>
    <xf numFmtId="0" fontId="1" fillId="0" borderId="8" xfId="11" applyFont="1" applyFill="1" applyBorder="1" applyAlignment="1">
      <alignment horizontal="center" vertical="center" wrapText="1"/>
    </xf>
    <xf numFmtId="0" fontId="1" fillId="0" borderId="23" xfId="11" applyFont="1" applyFill="1" applyBorder="1" applyAlignment="1">
      <alignment horizontal="center" vertical="center" wrapText="1"/>
    </xf>
    <xf numFmtId="0" fontId="1" fillId="0" borderId="2" xfId="1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right"/>
    </xf>
    <xf numFmtId="0" fontId="1" fillId="0" borderId="2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3" fillId="0" borderId="26" xfId="0" applyFont="1" applyBorder="1" applyAlignment="1">
      <alignment horizontal="center" wrapText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29" fillId="0" borderId="11" xfId="0" applyFont="1" applyBorder="1"/>
    <xf numFmtId="0" fontId="3" fillId="0" borderId="8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1" fillId="0" borderId="1" xfId="0" applyFont="1" applyFill="1" applyBorder="1" applyAlignment="1" applyProtection="1">
      <alignment horizontal="center" vertical="center" textRotation="90" wrapText="1"/>
      <protection hidden="1"/>
    </xf>
    <xf numFmtId="0" fontId="6" fillId="0" borderId="1" xfId="0" applyFont="1" applyFill="1" applyBorder="1" applyAlignment="1" applyProtection="1">
      <alignment horizontal="center" vertical="center" textRotation="90" wrapText="1"/>
      <protection hidden="1"/>
    </xf>
    <xf numFmtId="166" fontId="1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1" fillId="0" borderId="4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11" xfId="0" applyNumberFormat="1" applyFont="1" applyFill="1" applyBorder="1" applyAlignment="1" applyProtection="1">
      <alignment horizontal="left" vertical="center" wrapText="1" readingOrder="1"/>
      <protection hidden="1"/>
    </xf>
    <xf numFmtId="0" fontId="7" fillId="0" borderId="0" xfId="0" applyFont="1" applyFill="1" applyBorder="1" applyAlignment="1" applyProtection="1">
      <alignment horizontal="center" wrapText="1"/>
      <protection hidden="1"/>
    </xf>
    <xf numFmtId="166" fontId="5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167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167" fontId="5" fillId="0" borderId="11" xfId="0" applyNumberFormat="1" applyFont="1" applyFill="1" applyBorder="1" applyAlignment="1" applyProtection="1">
      <alignment horizontal="center" vertical="center"/>
      <protection hidden="1"/>
    </xf>
  </cellXfs>
  <cellStyles count="50">
    <cellStyle name="bckgrnd_900" xfId="1"/>
    <cellStyle name="cntr_arm10_Bord_900" xfId="2"/>
    <cellStyle name="cntrBtm_arm10bld_900" xfId="3"/>
    <cellStyle name="Currency [0] 2" xfId="4"/>
    <cellStyle name="left_arm10_BordWW_900" xfId="5"/>
    <cellStyle name="Normal" xfId="0" builtinId="0"/>
    <cellStyle name="Normal 13" xfId="6"/>
    <cellStyle name="Normal 13 2" xfId="7"/>
    <cellStyle name="Normal 16" xfId="8"/>
    <cellStyle name="Normal 16 2" xfId="9"/>
    <cellStyle name="Normal 17" xfId="10"/>
    <cellStyle name="Normal 2" xfId="11"/>
    <cellStyle name="Normal 2 10" xfId="12"/>
    <cellStyle name="Normal 2 11" xfId="13"/>
    <cellStyle name="Normal 2 12" xfId="14"/>
    <cellStyle name="Normal 2 13" xfId="15"/>
    <cellStyle name="Normal 2 14" xfId="16"/>
    <cellStyle name="Normal 2 15" xfId="17"/>
    <cellStyle name="Normal 2 16" xfId="18"/>
    <cellStyle name="Normal 2 17" xfId="19"/>
    <cellStyle name="Normal 2 17 2" xfId="20"/>
    <cellStyle name="Normal 2 17 2 2" xfId="21"/>
    <cellStyle name="Normal 2 18" xfId="22"/>
    <cellStyle name="Normal 2 19" xfId="23"/>
    <cellStyle name="Normal 2 2" xfId="24"/>
    <cellStyle name="Normal 2 2 2" xfId="25"/>
    <cellStyle name="Normal 2 2 2 2" xfId="26"/>
    <cellStyle name="Normal 2 2 2 2 2" xfId="27"/>
    <cellStyle name="Normal 2 2 3" xfId="28"/>
    <cellStyle name="Normal 2 2 4" xfId="29"/>
    <cellStyle name="Normal 2 2 5" xfId="30"/>
    <cellStyle name="Normal 2 3" xfId="31"/>
    <cellStyle name="Normal 2 4" xfId="32"/>
    <cellStyle name="Normal 2 5" xfId="33"/>
    <cellStyle name="Normal 2 6" xfId="34"/>
    <cellStyle name="Normal 2 7" xfId="35"/>
    <cellStyle name="Normal 2 8" xfId="36"/>
    <cellStyle name="Normal 2 9" xfId="37"/>
    <cellStyle name="Normal 3 2" xfId="38"/>
    <cellStyle name="Normal 3 3" xfId="39"/>
    <cellStyle name="Normal 3 4" xfId="40"/>
    <cellStyle name="Normal 3 5" xfId="41"/>
    <cellStyle name="Normal 4" xfId="42"/>
    <cellStyle name="Normal 4 2" xfId="43"/>
    <cellStyle name="Normal 7" xfId="44"/>
    <cellStyle name="Normal 7 2" xfId="45"/>
    <cellStyle name="Normal 9" xfId="46"/>
    <cellStyle name="Normal 9 2" xfId="47"/>
    <cellStyle name="rgt_arm10_BordGrey_900" xfId="48"/>
    <cellStyle name="Обычный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122</xdr:row>
      <xdr:rowOff>1190625</xdr:rowOff>
    </xdr:from>
    <xdr:ext cx="194454" cy="283457"/>
    <xdr:sp macro="" textlink="">
      <xdr:nvSpPr>
        <xdr:cNvPr id="2" name="TextBox 1"/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5"/>
  <sheetViews>
    <sheetView topLeftCell="A22" workbookViewId="0">
      <selection activeCell="G3" sqref="G3:J3"/>
    </sheetView>
  </sheetViews>
  <sheetFormatPr defaultRowHeight="13.5"/>
  <cols>
    <col min="1" max="1" width="9.42578125" style="147" customWidth="1"/>
    <col min="2" max="2" width="47.5703125" style="94" customWidth="1"/>
    <col min="3" max="3" width="8.7109375" style="147" customWidth="1"/>
    <col min="4" max="4" width="13" style="94" customWidth="1"/>
    <col min="5" max="5" width="12.42578125" style="147" customWidth="1"/>
    <col min="6" max="6" width="11.85546875" style="147" customWidth="1"/>
    <col min="7" max="7" width="13.5703125" style="94" customWidth="1"/>
    <col min="8" max="9" width="13.5703125" style="147" customWidth="1"/>
    <col min="10" max="10" width="13.5703125" style="94" customWidth="1"/>
    <col min="11" max="11" width="9.28515625" style="94" bestFit="1" customWidth="1"/>
    <col min="12" max="16384" width="9.140625" style="94"/>
  </cols>
  <sheetData>
    <row r="1" spans="1:11">
      <c r="J1" s="147" t="s">
        <v>866</v>
      </c>
    </row>
    <row r="2" spans="1:11">
      <c r="G2" s="260" t="s">
        <v>601</v>
      </c>
      <c r="H2" s="260"/>
      <c r="I2" s="260"/>
      <c r="J2" s="260"/>
    </row>
    <row r="3" spans="1:11">
      <c r="G3" s="260" t="s">
        <v>876</v>
      </c>
      <c r="H3" s="260"/>
      <c r="I3" s="260"/>
      <c r="J3" s="260"/>
    </row>
    <row r="4" spans="1:11">
      <c r="G4" s="261" t="s">
        <v>868</v>
      </c>
      <c r="H4" s="261"/>
      <c r="I4" s="261"/>
      <c r="J4" s="261"/>
    </row>
    <row r="5" spans="1:11">
      <c r="C5" s="168"/>
      <c r="J5" s="147" t="s">
        <v>865</v>
      </c>
    </row>
    <row r="6" spans="1:11">
      <c r="G6" s="260" t="s">
        <v>601</v>
      </c>
      <c r="H6" s="260"/>
      <c r="I6" s="260"/>
      <c r="J6" s="260"/>
    </row>
    <row r="7" spans="1:11">
      <c r="G7" s="260" t="s">
        <v>864</v>
      </c>
      <c r="H7" s="260"/>
      <c r="I7" s="260"/>
      <c r="J7" s="260"/>
    </row>
    <row r="8" spans="1:11" ht="19.5" customHeight="1">
      <c r="G8" s="260" t="s">
        <v>863</v>
      </c>
      <c r="H8" s="260"/>
      <c r="I8" s="260"/>
      <c r="J8" s="260"/>
    </row>
    <row r="9" spans="1:11" ht="20.25">
      <c r="A9" s="251" t="s">
        <v>695</v>
      </c>
      <c r="B9" s="251"/>
      <c r="C9" s="251"/>
      <c r="D9" s="251"/>
      <c r="E9" s="251"/>
      <c r="F9" s="251"/>
      <c r="G9" s="234"/>
      <c r="H9" s="234"/>
      <c r="I9" s="234"/>
    </row>
    <row r="10" spans="1:11" ht="20.25">
      <c r="A10" s="251" t="s">
        <v>696</v>
      </c>
      <c r="B10" s="251"/>
      <c r="C10" s="251"/>
      <c r="D10" s="251"/>
      <c r="E10" s="251"/>
      <c r="F10" s="251"/>
      <c r="G10" s="234"/>
      <c r="H10" s="234"/>
      <c r="I10" s="234"/>
    </row>
    <row r="11" spans="1:11" ht="14.25" thickBot="1">
      <c r="A11" s="94"/>
      <c r="C11" s="94"/>
      <c r="E11" s="94"/>
      <c r="F11" s="94"/>
      <c r="H11" s="94"/>
      <c r="I11" s="151" t="s">
        <v>753</v>
      </c>
      <c r="J11" s="151"/>
    </row>
    <row r="12" spans="1:11" ht="43.5" thickBot="1">
      <c r="A12" s="240"/>
      <c r="B12" s="240"/>
      <c r="C12" s="248" t="s">
        <v>699</v>
      </c>
      <c r="D12" s="95" t="s">
        <v>697</v>
      </c>
      <c r="E12" s="95"/>
      <c r="F12" s="95"/>
      <c r="G12" s="252" t="s">
        <v>754</v>
      </c>
      <c r="H12" s="253"/>
      <c r="I12" s="253"/>
      <c r="J12" s="254"/>
    </row>
    <row r="13" spans="1:11">
      <c r="A13" s="241" t="s">
        <v>143</v>
      </c>
      <c r="B13" s="241" t="s">
        <v>698</v>
      </c>
      <c r="C13" s="249"/>
      <c r="D13" s="255" t="s">
        <v>369</v>
      </c>
      <c r="E13" s="96" t="s">
        <v>154</v>
      </c>
      <c r="F13" s="96"/>
      <c r="G13" s="257" t="s">
        <v>368</v>
      </c>
      <c r="H13" s="258"/>
      <c r="I13" s="258"/>
      <c r="J13" s="259"/>
    </row>
    <row r="14" spans="1:11" ht="27.75" thickBot="1">
      <c r="A14" s="242"/>
      <c r="B14" s="242"/>
      <c r="C14" s="250"/>
      <c r="D14" s="256"/>
      <c r="E14" s="79" t="s">
        <v>370</v>
      </c>
      <c r="F14" s="80" t="s">
        <v>371</v>
      </c>
      <c r="G14" s="81">
        <v>1</v>
      </c>
      <c r="H14" s="81">
        <v>2</v>
      </c>
      <c r="I14" s="81">
        <v>3</v>
      </c>
      <c r="J14" s="81">
        <v>4</v>
      </c>
    </row>
    <row r="15" spans="1:11" s="147" customFormat="1">
      <c r="A15" s="152">
        <v>1</v>
      </c>
      <c r="B15" s="82">
        <v>2</v>
      </c>
      <c r="C15" s="82">
        <v>3</v>
      </c>
      <c r="D15" s="82">
        <v>4</v>
      </c>
      <c r="E15" s="82">
        <v>5</v>
      </c>
      <c r="F15" s="82">
        <v>6</v>
      </c>
      <c r="G15" s="82">
        <v>7</v>
      </c>
      <c r="H15" s="82">
        <v>8</v>
      </c>
      <c r="I15" s="82">
        <v>9</v>
      </c>
      <c r="J15" s="82">
        <v>10</v>
      </c>
    </row>
    <row r="16" spans="1:11" ht="34.5">
      <c r="A16" s="167">
        <v>1000</v>
      </c>
      <c r="B16" s="97" t="s">
        <v>742</v>
      </c>
      <c r="C16" s="81"/>
      <c r="D16" s="91">
        <f t="shared" ref="D16:J16" si="0">SUM(D17,D57,D76)</f>
        <v>7858944.6364999991</v>
      </c>
      <c r="E16" s="91">
        <f t="shared" si="0"/>
        <v>6697034.7084999997</v>
      </c>
      <c r="F16" s="91">
        <f t="shared" si="0"/>
        <v>2087892.9280000001</v>
      </c>
      <c r="G16" s="83">
        <f t="shared" si="0"/>
        <v>2946450.8065637131</v>
      </c>
      <c r="H16" s="83">
        <f t="shared" si="0"/>
        <v>4634117.3964434713</v>
      </c>
      <c r="I16" s="83">
        <f t="shared" si="0"/>
        <v>6323150.4894754067</v>
      </c>
      <c r="J16" s="83">
        <f t="shared" si="0"/>
        <v>7858944.6364999991</v>
      </c>
      <c r="K16" s="234"/>
    </row>
    <row r="17" spans="1:11" s="225" customFormat="1" ht="42.75">
      <c r="A17" s="167">
        <v>1100</v>
      </c>
      <c r="B17" s="89" t="s">
        <v>837</v>
      </c>
      <c r="C17" s="154">
        <v>7100</v>
      </c>
      <c r="D17" s="91">
        <f>SUM(D18,D22,D24,D47,D51)</f>
        <v>1820882.5269999998</v>
      </c>
      <c r="E17" s="91">
        <f>SUM(E18,E22,E24,E47,E51)</f>
        <v>1820882.5269999998</v>
      </c>
      <c r="F17" s="91" t="s">
        <v>0</v>
      </c>
      <c r="G17" s="91">
        <f t="shared" ref="G17:J17" si="1">SUM(G18,G22,G24,G47,G51)</f>
        <v>541566.28842678468</v>
      </c>
      <c r="H17" s="91">
        <f t="shared" si="1"/>
        <v>1018287.0441969763</v>
      </c>
      <c r="I17" s="91">
        <f t="shared" si="1"/>
        <v>1481643.1991150561</v>
      </c>
      <c r="J17" s="91">
        <f t="shared" si="1"/>
        <v>1820882.5269999998</v>
      </c>
      <c r="K17" s="234"/>
    </row>
    <row r="18" spans="1:11" s="225" customFormat="1" ht="28.5">
      <c r="A18" s="167">
        <v>1110</v>
      </c>
      <c r="B18" s="89" t="s">
        <v>836</v>
      </c>
      <c r="C18" s="154">
        <v>7131</v>
      </c>
      <c r="D18" s="91">
        <f>SUM(D19,D20,D21)</f>
        <v>532704.54500000004</v>
      </c>
      <c r="E18" s="91">
        <f>SUM(E19,E20,E21)</f>
        <v>532704.54500000004</v>
      </c>
      <c r="F18" s="91" t="s">
        <v>0</v>
      </c>
      <c r="G18" s="91">
        <f t="shared" ref="G18:J18" si="2">SUM(G19,G20,G21)</f>
        <v>126834.41547619046</v>
      </c>
      <c r="H18" s="91">
        <f t="shared" si="2"/>
        <v>255782.73787698412</v>
      </c>
      <c r="I18" s="91">
        <f t="shared" si="2"/>
        <v>395300.59490079369</v>
      </c>
      <c r="J18" s="91">
        <f t="shared" si="2"/>
        <v>532704.54500000004</v>
      </c>
      <c r="K18" s="234"/>
    </row>
    <row r="19" spans="1:11" ht="40.5">
      <c r="A19" s="167">
        <v>1111</v>
      </c>
      <c r="B19" s="85" t="s">
        <v>838</v>
      </c>
      <c r="C19" s="81"/>
      <c r="D19" s="156">
        <f>E19</f>
        <v>5564.06</v>
      </c>
      <c r="E19" s="156">
        <v>5564.06</v>
      </c>
      <c r="F19" s="156" t="s">
        <v>0</v>
      </c>
      <c r="G19" s="156">
        <f>+D19/252*60</f>
        <v>1324.7761904761905</v>
      </c>
      <c r="H19" s="156">
        <f>+D19/252*121</f>
        <v>2671.6319841269842</v>
      </c>
      <c r="I19" s="156">
        <f>+D19/252*187</f>
        <v>4128.8857936507939</v>
      </c>
      <c r="J19" s="156">
        <f>+D19</f>
        <v>5564.06</v>
      </c>
      <c r="K19" s="234"/>
    </row>
    <row r="20" spans="1:11" ht="27">
      <c r="A20" s="167">
        <v>1112</v>
      </c>
      <c r="B20" s="85" t="s">
        <v>700</v>
      </c>
      <c r="C20" s="81"/>
      <c r="D20" s="156">
        <f t="shared" ref="D20:D21" si="3">E20</f>
        <v>4504.3</v>
      </c>
      <c r="E20" s="156">
        <v>4504.3</v>
      </c>
      <c r="F20" s="156" t="s">
        <v>0</v>
      </c>
      <c r="G20" s="156">
        <f t="shared" ref="G20" si="4">+D20/252*60</f>
        <v>1072.452380952381</v>
      </c>
      <c r="H20" s="156">
        <f t="shared" ref="H20:H21" si="5">+D20/252*121</f>
        <v>2162.7789682539683</v>
      </c>
      <c r="I20" s="156">
        <f t="shared" ref="I20" si="6">+D20/252*187</f>
        <v>3342.4765873015876</v>
      </c>
      <c r="J20" s="156">
        <f t="shared" ref="J20" si="7">+D20</f>
        <v>4504.3</v>
      </c>
      <c r="K20" s="234"/>
    </row>
    <row r="21" spans="1:11">
      <c r="A21" s="167">
        <v>1113</v>
      </c>
      <c r="B21" s="85" t="s">
        <v>828</v>
      </c>
      <c r="C21" s="81"/>
      <c r="D21" s="156">
        <f t="shared" si="3"/>
        <v>522636.185</v>
      </c>
      <c r="E21" s="156">
        <f>502636.185+10000+10000</f>
        <v>522636.185</v>
      </c>
      <c r="F21" s="156" t="s">
        <v>0</v>
      </c>
      <c r="G21" s="156">
        <f>+D21/252*60</f>
        <v>124437.1869047619</v>
      </c>
      <c r="H21" s="156">
        <f t="shared" si="5"/>
        <v>250948.32692460317</v>
      </c>
      <c r="I21" s="156">
        <f>+D21/252*187</f>
        <v>387829.23251984129</v>
      </c>
      <c r="J21" s="156">
        <f>+D21</f>
        <v>522636.185</v>
      </c>
      <c r="K21" s="234"/>
    </row>
    <row r="22" spans="1:11" s="225" customFormat="1" ht="14.25">
      <c r="A22" s="167">
        <v>1120</v>
      </c>
      <c r="B22" s="89" t="s">
        <v>701</v>
      </c>
      <c r="C22" s="154">
        <v>7136</v>
      </c>
      <c r="D22" s="91">
        <f>SUM(D23)</f>
        <v>1100071.9819999998</v>
      </c>
      <c r="E22" s="91">
        <f>SUM(E23)</f>
        <v>1100071.9819999998</v>
      </c>
      <c r="F22" s="91" t="s">
        <v>0</v>
      </c>
      <c r="G22" s="84">
        <f>SUM(G23)</f>
        <v>369944.73009345139</v>
      </c>
      <c r="H22" s="84">
        <f>SUM(H23)</f>
        <v>672183.56822475407</v>
      </c>
      <c r="I22" s="84">
        <f>SUM(I23)</f>
        <v>946756.00897616718</v>
      </c>
      <c r="J22" s="84">
        <f>SUM(J23)</f>
        <v>1100071.9819999998</v>
      </c>
      <c r="K22" s="234"/>
    </row>
    <row r="23" spans="1:11" ht="27">
      <c r="A23" s="167">
        <v>1121</v>
      </c>
      <c r="B23" s="85" t="s">
        <v>743</v>
      </c>
      <c r="C23" s="81"/>
      <c r="D23" s="156">
        <f>E23</f>
        <v>1100071.9819999998</v>
      </c>
      <c r="E23" s="156">
        <f>1048071.982+50000+2000</f>
        <v>1100071.9819999998</v>
      </c>
      <c r="F23" s="156" t="s">
        <v>0</v>
      </c>
      <c r="G23" s="156">
        <v>369944.73009345139</v>
      </c>
      <c r="H23" s="156">
        <v>672183.56822475407</v>
      </c>
      <c r="I23" s="156">
        <v>946756.00897616718</v>
      </c>
      <c r="J23" s="156">
        <f>+D23</f>
        <v>1100071.9819999998</v>
      </c>
      <c r="K23" s="234"/>
    </row>
    <row r="24" spans="1:11" s="225" customFormat="1" ht="42.75">
      <c r="A24" s="167">
        <v>1130</v>
      </c>
      <c r="B24" s="89" t="s">
        <v>702</v>
      </c>
      <c r="C24" s="154">
        <v>7145</v>
      </c>
      <c r="D24" s="91">
        <f>SUM(D25)</f>
        <v>133106</v>
      </c>
      <c r="E24" s="91">
        <f>SUM(E25)</f>
        <v>133106</v>
      </c>
      <c r="F24" s="91" t="s">
        <v>0</v>
      </c>
      <c r="G24" s="84">
        <f>SUM(G25)</f>
        <v>31691.90476190476</v>
      </c>
      <c r="H24" s="84">
        <f>SUM(H25)</f>
        <v>63912.007936507929</v>
      </c>
      <c r="I24" s="84">
        <f>SUM(I25)</f>
        <v>98773.103174603151</v>
      </c>
      <c r="J24" s="84">
        <f>SUM(J25)</f>
        <v>133106</v>
      </c>
      <c r="K24" s="234"/>
    </row>
    <row r="25" spans="1:11" ht="67.5">
      <c r="A25" s="167">
        <v>11301</v>
      </c>
      <c r="B25" s="85" t="s">
        <v>839</v>
      </c>
      <c r="C25" s="81">
        <v>7145</v>
      </c>
      <c r="D25" s="156">
        <f>D26+D29+D30+D31+D32+D33+D34+D35+D36+D37+D38+D39+D40+D41+D42+D43+D44+D45+D46</f>
        <v>133106</v>
      </c>
      <c r="E25" s="156">
        <f>E26+E29+E30+E31+E32+E33+E34+E35+E36+E37+E38+E39+E40+E41+E42+E43+E44+E45+E46</f>
        <v>133106</v>
      </c>
      <c r="F25" s="156" t="s">
        <v>0</v>
      </c>
      <c r="G25" s="156">
        <f t="shared" ref="G25:J25" si="8">G26+G29+G30+G31+G32+G33+G34+G35+G36+G37+G38+G39+G40+G41+G42+G43+G44+G45+G46</f>
        <v>31691.90476190476</v>
      </c>
      <c r="H25" s="156">
        <f t="shared" si="8"/>
        <v>63912.007936507929</v>
      </c>
      <c r="I25" s="156">
        <f t="shared" si="8"/>
        <v>98773.103174603151</v>
      </c>
      <c r="J25" s="156">
        <f t="shared" si="8"/>
        <v>133106</v>
      </c>
      <c r="K25" s="234"/>
    </row>
    <row r="26" spans="1:11" ht="54">
      <c r="A26" s="167">
        <v>11302</v>
      </c>
      <c r="B26" s="85" t="s">
        <v>840</v>
      </c>
      <c r="C26" s="81"/>
      <c r="D26" s="156">
        <f>SUM(D27:D28)</f>
        <v>11005</v>
      </c>
      <c r="E26" s="156">
        <f>SUM(E27:E28)</f>
        <v>11005</v>
      </c>
      <c r="F26" s="156" t="s">
        <v>0</v>
      </c>
      <c r="G26" s="156">
        <f t="shared" ref="G26:G46" si="9">+D26/252*60</f>
        <v>2620.238095238095</v>
      </c>
      <c r="H26" s="156">
        <f t="shared" ref="H26:H46" si="10">+D26/252*121</f>
        <v>5284.1468253968251</v>
      </c>
      <c r="I26" s="156">
        <f t="shared" ref="I26:I46" si="11">+D26/252*187</f>
        <v>8166.4087301587297</v>
      </c>
      <c r="J26" s="156">
        <f t="shared" ref="J26:J46" si="12">+D26</f>
        <v>11005</v>
      </c>
      <c r="K26" s="234"/>
    </row>
    <row r="27" spans="1:11" ht="27">
      <c r="A27" s="167">
        <v>113021</v>
      </c>
      <c r="B27" s="87" t="s">
        <v>841</v>
      </c>
      <c r="C27" s="81"/>
      <c r="D27" s="156">
        <f>E27</f>
        <v>10915</v>
      </c>
      <c r="E27" s="156">
        <v>10915</v>
      </c>
      <c r="F27" s="156" t="s">
        <v>0</v>
      </c>
      <c r="G27" s="156">
        <f t="shared" si="9"/>
        <v>2598.8095238095239</v>
      </c>
      <c r="H27" s="156">
        <f t="shared" si="10"/>
        <v>5240.9325396825398</v>
      </c>
      <c r="I27" s="156">
        <f t="shared" si="11"/>
        <v>8099.6230158730159</v>
      </c>
      <c r="J27" s="156">
        <f t="shared" si="12"/>
        <v>10915</v>
      </c>
      <c r="K27" s="234"/>
    </row>
    <row r="28" spans="1:11">
      <c r="A28" s="167">
        <v>113022</v>
      </c>
      <c r="B28" s="146" t="s">
        <v>703</v>
      </c>
      <c r="C28" s="81"/>
      <c r="D28" s="156">
        <f>E28</f>
        <v>90</v>
      </c>
      <c r="E28" s="156">
        <v>90</v>
      </c>
      <c r="F28" s="156" t="s">
        <v>0</v>
      </c>
      <c r="G28" s="156">
        <f t="shared" si="9"/>
        <v>21.428571428571431</v>
      </c>
      <c r="H28" s="156">
        <f t="shared" si="10"/>
        <v>43.214285714285715</v>
      </c>
      <c r="I28" s="156">
        <f t="shared" si="11"/>
        <v>66.785714285714292</v>
      </c>
      <c r="J28" s="156">
        <f t="shared" si="12"/>
        <v>90</v>
      </c>
      <c r="K28" s="234"/>
    </row>
    <row r="29" spans="1:11" ht="94.5">
      <c r="A29" s="167">
        <v>11303</v>
      </c>
      <c r="B29" s="85" t="s">
        <v>641</v>
      </c>
      <c r="C29" s="81"/>
      <c r="D29" s="156">
        <f>E29</f>
        <v>126</v>
      </c>
      <c r="E29" s="156">
        <v>126</v>
      </c>
      <c r="F29" s="156" t="s">
        <v>0</v>
      </c>
      <c r="G29" s="156">
        <f t="shared" si="9"/>
        <v>30</v>
      </c>
      <c r="H29" s="156">
        <f t="shared" si="10"/>
        <v>60.5</v>
      </c>
      <c r="I29" s="156">
        <f t="shared" si="11"/>
        <v>93.5</v>
      </c>
      <c r="J29" s="156">
        <f t="shared" si="12"/>
        <v>126</v>
      </c>
      <c r="K29" s="234"/>
    </row>
    <row r="30" spans="1:11" ht="40.5">
      <c r="A30" s="167">
        <v>11304</v>
      </c>
      <c r="B30" s="87" t="s">
        <v>642</v>
      </c>
      <c r="C30" s="81"/>
      <c r="D30" s="156">
        <f>SUM(E30:F30)</f>
        <v>35</v>
      </c>
      <c r="E30" s="156">
        <v>35</v>
      </c>
      <c r="F30" s="156" t="s">
        <v>0</v>
      </c>
      <c r="G30" s="156">
        <f t="shared" si="9"/>
        <v>8.3333333333333339</v>
      </c>
      <c r="H30" s="156">
        <f t="shared" si="10"/>
        <v>16.805555555555557</v>
      </c>
      <c r="I30" s="156">
        <f t="shared" si="11"/>
        <v>25.972222222222225</v>
      </c>
      <c r="J30" s="156">
        <f t="shared" si="12"/>
        <v>35</v>
      </c>
      <c r="K30" s="234"/>
    </row>
    <row r="31" spans="1:11" ht="54">
      <c r="A31" s="167">
        <v>11305</v>
      </c>
      <c r="B31" s="87" t="s">
        <v>643</v>
      </c>
      <c r="C31" s="81"/>
      <c r="D31" s="156">
        <f t="shared" ref="D31:D46" si="13">E31</f>
        <v>15900</v>
      </c>
      <c r="E31" s="156">
        <v>15900</v>
      </c>
      <c r="F31" s="156" t="s">
        <v>0</v>
      </c>
      <c r="G31" s="156">
        <f t="shared" si="9"/>
        <v>3785.7142857142858</v>
      </c>
      <c r="H31" s="156">
        <f t="shared" si="10"/>
        <v>7634.5238095238092</v>
      </c>
      <c r="I31" s="156">
        <f t="shared" si="11"/>
        <v>11798.809523809523</v>
      </c>
      <c r="J31" s="156">
        <f t="shared" si="12"/>
        <v>15900</v>
      </c>
      <c r="K31" s="234"/>
    </row>
    <row r="32" spans="1:11" ht="108">
      <c r="A32" s="167">
        <v>11306</v>
      </c>
      <c r="B32" s="85" t="s">
        <v>644</v>
      </c>
      <c r="C32" s="81"/>
      <c r="D32" s="156">
        <f t="shared" si="13"/>
        <v>3600</v>
      </c>
      <c r="E32" s="156">
        <v>3600</v>
      </c>
      <c r="F32" s="156" t="s">
        <v>0</v>
      </c>
      <c r="G32" s="156">
        <f t="shared" si="9"/>
        <v>857.14285714285722</v>
      </c>
      <c r="H32" s="156">
        <f t="shared" si="10"/>
        <v>1728.5714285714287</v>
      </c>
      <c r="I32" s="156">
        <f t="shared" si="11"/>
        <v>2671.4285714285716</v>
      </c>
      <c r="J32" s="156">
        <f t="shared" si="12"/>
        <v>3600</v>
      </c>
      <c r="K32" s="234"/>
    </row>
    <row r="33" spans="1:11" ht="54">
      <c r="A33" s="167">
        <v>11307</v>
      </c>
      <c r="B33" s="87" t="s">
        <v>645</v>
      </c>
      <c r="C33" s="81"/>
      <c r="D33" s="156">
        <f t="shared" si="13"/>
        <v>3075</v>
      </c>
      <c r="E33" s="156">
        <v>3075</v>
      </c>
      <c r="F33" s="156" t="s">
        <v>0</v>
      </c>
      <c r="G33" s="156">
        <f t="shared" si="9"/>
        <v>732.14285714285711</v>
      </c>
      <c r="H33" s="156">
        <f t="shared" si="10"/>
        <v>1476.4880952380952</v>
      </c>
      <c r="I33" s="156">
        <f t="shared" si="11"/>
        <v>2281.8452380952381</v>
      </c>
      <c r="J33" s="156">
        <f t="shared" si="12"/>
        <v>3075</v>
      </c>
      <c r="K33" s="234"/>
    </row>
    <row r="34" spans="1:11" ht="40.5">
      <c r="A34" s="167">
        <v>11308</v>
      </c>
      <c r="B34" s="87" t="s">
        <v>646</v>
      </c>
      <c r="C34" s="81"/>
      <c r="D34" s="156">
        <f t="shared" si="13"/>
        <v>34320</v>
      </c>
      <c r="E34" s="156">
        <v>34320</v>
      </c>
      <c r="F34" s="156" t="s">
        <v>0</v>
      </c>
      <c r="G34" s="156">
        <f t="shared" si="9"/>
        <v>8171.4285714285725</v>
      </c>
      <c r="H34" s="156">
        <f t="shared" si="10"/>
        <v>16479.047619047622</v>
      </c>
      <c r="I34" s="156">
        <f t="shared" si="11"/>
        <v>25467.61904761905</v>
      </c>
      <c r="J34" s="156">
        <f t="shared" si="12"/>
        <v>34320</v>
      </c>
      <c r="K34" s="234"/>
    </row>
    <row r="35" spans="1:11" ht="27">
      <c r="A35" s="167">
        <v>11309</v>
      </c>
      <c r="B35" s="87" t="s">
        <v>647</v>
      </c>
      <c r="C35" s="81"/>
      <c r="D35" s="156">
        <f t="shared" si="13"/>
        <v>800</v>
      </c>
      <c r="E35" s="156">
        <v>800</v>
      </c>
      <c r="F35" s="156" t="s">
        <v>0</v>
      </c>
      <c r="G35" s="156">
        <f t="shared" si="9"/>
        <v>190.47619047619045</v>
      </c>
      <c r="H35" s="156">
        <f t="shared" si="10"/>
        <v>384.1269841269841</v>
      </c>
      <c r="I35" s="156">
        <f t="shared" si="11"/>
        <v>593.65079365079362</v>
      </c>
      <c r="J35" s="156">
        <f t="shared" si="12"/>
        <v>800</v>
      </c>
      <c r="K35" s="234"/>
    </row>
    <row r="36" spans="1:11" ht="67.5">
      <c r="A36" s="167">
        <v>11310</v>
      </c>
      <c r="B36" s="87" t="s">
        <v>704</v>
      </c>
      <c r="C36" s="81"/>
      <c r="D36" s="156">
        <f t="shared" si="13"/>
        <v>2100</v>
      </c>
      <c r="E36" s="156">
        <v>2100</v>
      </c>
      <c r="F36" s="156" t="s">
        <v>0</v>
      </c>
      <c r="G36" s="156">
        <f t="shared" si="9"/>
        <v>500.00000000000006</v>
      </c>
      <c r="H36" s="156">
        <f t="shared" si="10"/>
        <v>1008.3333333333334</v>
      </c>
      <c r="I36" s="156">
        <f t="shared" si="11"/>
        <v>1558.3333333333335</v>
      </c>
      <c r="J36" s="156">
        <f t="shared" si="12"/>
        <v>2100</v>
      </c>
      <c r="K36" s="234"/>
    </row>
    <row r="37" spans="1:11" ht="40.5">
      <c r="A37" s="167">
        <v>11311</v>
      </c>
      <c r="B37" s="87" t="s">
        <v>648</v>
      </c>
      <c r="C37" s="81"/>
      <c r="D37" s="156">
        <f t="shared" si="13"/>
        <v>7156</v>
      </c>
      <c r="E37" s="156">
        <v>7156</v>
      </c>
      <c r="F37" s="156" t="s">
        <v>0</v>
      </c>
      <c r="G37" s="156">
        <f t="shared" si="9"/>
        <v>1703.8095238095236</v>
      </c>
      <c r="H37" s="156">
        <f t="shared" si="10"/>
        <v>3436.0158730158728</v>
      </c>
      <c r="I37" s="156">
        <f t="shared" si="11"/>
        <v>5310.2063492063489</v>
      </c>
      <c r="J37" s="156">
        <f t="shared" si="12"/>
        <v>7156</v>
      </c>
      <c r="K37" s="234"/>
    </row>
    <row r="38" spans="1:11" ht="54">
      <c r="A38" s="167">
        <v>11312</v>
      </c>
      <c r="B38" s="87" t="s">
        <v>705</v>
      </c>
      <c r="C38" s="81"/>
      <c r="D38" s="156">
        <f t="shared" si="13"/>
        <v>125</v>
      </c>
      <c r="E38" s="156">
        <v>125</v>
      </c>
      <c r="F38" s="156" t="s">
        <v>0</v>
      </c>
      <c r="G38" s="156">
        <f t="shared" si="9"/>
        <v>29.761904761904763</v>
      </c>
      <c r="H38" s="156">
        <f t="shared" si="10"/>
        <v>60.019841269841272</v>
      </c>
      <c r="I38" s="156">
        <f t="shared" si="11"/>
        <v>92.757936507936506</v>
      </c>
      <c r="J38" s="156">
        <f t="shared" si="12"/>
        <v>125</v>
      </c>
      <c r="K38" s="234"/>
    </row>
    <row r="39" spans="1:11" ht="27">
      <c r="A39" s="167">
        <v>11313</v>
      </c>
      <c r="B39" s="87" t="s">
        <v>706</v>
      </c>
      <c r="C39" s="81"/>
      <c r="D39" s="156">
        <f t="shared" si="13"/>
        <v>51264</v>
      </c>
      <c r="E39" s="156">
        <v>51264</v>
      </c>
      <c r="F39" s="156" t="s">
        <v>0</v>
      </c>
      <c r="G39" s="156">
        <f t="shared" si="9"/>
        <v>12205.714285714284</v>
      </c>
      <c r="H39" s="156">
        <f t="shared" si="10"/>
        <v>24614.857142857141</v>
      </c>
      <c r="I39" s="156">
        <f t="shared" si="11"/>
        <v>38041.142857142855</v>
      </c>
      <c r="J39" s="156">
        <f t="shared" si="12"/>
        <v>51264</v>
      </c>
      <c r="K39" s="234"/>
    </row>
    <row r="40" spans="1:11" ht="81">
      <c r="A40" s="167">
        <v>11314</v>
      </c>
      <c r="B40" s="87" t="s">
        <v>649</v>
      </c>
      <c r="C40" s="81"/>
      <c r="D40" s="156">
        <f t="shared" si="13"/>
        <v>900</v>
      </c>
      <c r="E40" s="156">
        <v>900</v>
      </c>
      <c r="F40" s="156" t="s">
        <v>0</v>
      </c>
      <c r="G40" s="156">
        <f t="shared" si="9"/>
        <v>214.28571428571431</v>
      </c>
      <c r="H40" s="156">
        <f t="shared" si="10"/>
        <v>432.14285714285717</v>
      </c>
      <c r="I40" s="156">
        <f t="shared" si="11"/>
        <v>667.85714285714289</v>
      </c>
      <c r="J40" s="156">
        <f t="shared" si="12"/>
        <v>900</v>
      </c>
      <c r="K40" s="234"/>
    </row>
    <row r="41" spans="1:11" ht="54">
      <c r="A41" s="167">
        <v>11315</v>
      </c>
      <c r="B41" s="87" t="s">
        <v>650</v>
      </c>
      <c r="C41" s="81"/>
      <c r="D41" s="156">
        <f t="shared" si="13"/>
        <v>0</v>
      </c>
      <c r="E41" s="156"/>
      <c r="F41" s="156" t="s">
        <v>0</v>
      </c>
      <c r="G41" s="156">
        <f t="shared" si="9"/>
        <v>0</v>
      </c>
      <c r="H41" s="156">
        <f t="shared" si="10"/>
        <v>0</v>
      </c>
      <c r="I41" s="156">
        <f t="shared" si="11"/>
        <v>0</v>
      </c>
      <c r="J41" s="156">
        <f t="shared" si="12"/>
        <v>0</v>
      </c>
      <c r="K41" s="234"/>
    </row>
    <row r="42" spans="1:11" ht="54">
      <c r="A42" s="167">
        <v>11316</v>
      </c>
      <c r="B42" s="87" t="s">
        <v>651</v>
      </c>
      <c r="C42" s="81"/>
      <c r="D42" s="156">
        <f t="shared" si="13"/>
        <v>1500</v>
      </c>
      <c r="E42" s="156">
        <v>1500</v>
      </c>
      <c r="F42" s="156" t="s">
        <v>0</v>
      </c>
      <c r="G42" s="156">
        <f t="shared" si="9"/>
        <v>357.14285714285717</v>
      </c>
      <c r="H42" s="156">
        <f t="shared" si="10"/>
        <v>720.2380952380953</v>
      </c>
      <c r="I42" s="156">
        <f t="shared" si="11"/>
        <v>1113.0952380952381</v>
      </c>
      <c r="J42" s="156">
        <f t="shared" si="12"/>
        <v>1500</v>
      </c>
      <c r="K42" s="234"/>
    </row>
    <row r="43" spans="1:11" ht="40.5">
      <c r="A43" s="167">
        <v>11317</v>
      </c>
      <c r="B43" s="87" t="s">
        <v>652</v>
      </c>
      <c r="C43" s="81"/>
      <c r="D43" s="156">
        <f t="shared" si="13"/>
        <v>0</v>
      </c>
      <c r="E43" s="156"/>
      <c r="F43" s="156" t="s">
        <v>0</v>
      </c>
      <c r="G43" s="156">
        <f t="shared" si="9"/>
        <v>0</v>
      </c>
      <c r="H43" s="156">
        <f t="shared" si="10"/>
        <v>0</v>
      </c>
      <c r="I43" s="156">
        <f t="shared" si="11"/>
        <v>0</v>
      </c>
      <c r="J43" s="156">
        <f t="shared" si="12"/>
        <v>0</v>
      </c>
      <c r="K43" s="234"/>
    </row>
    <row r="44" spans="1:11" ht="40.5">
      <c r="A44" s="167">
        <v>11318</v>
      </c>
      <c r="B44" s="87" t="s">
        <v>653</v>
      </c>
      <c r="C44" s="81"/>
      <c r="D44" s="156">
        <f t="shared" si="13"/>
        <v>0</v>
      </c>
      <c r="E44" s="156"/>
      <c r="F44" s="156" t="s">
        <v>0</v>
      </c>
      <c r="G44" s="156">
        <f t="shared" si="9"/>
        <v>0</v>
      </c>
      <c r="H44" s="156">
        <f t="shared" si="10"/>
        <v>0</v>
      </c>
      <c r="I44" s="156">
        <f t="shared" si="11"/>
        <v>0</v>
      </c>
      <c r="J44" s="156">
        <f t="shared" si="12"/>
        <v>0</v>
      </c>
      <c r="K44" s="234"/>
    </row>
    <row r="45" spans="1:11" ht="40.5">
      <c r="A45" s="167">
        <v>11319</v>
      </c>
      <c r="B45" s="87" t="s">
        <v>858</v>
      </c>
      <c r="C45" s="81"/>
      <c r="D45" s="156">
        <f t="shared" si="13"/>
        <v>120</v>
      </c>
      <c r="E45" s="156">
        <v>120</v>
      </c>
      <c r="F45" s="156" t="s">
        <v>0</v>
      </c>
      <c r="G45" s="156">
        <f t="shared" si="9"/>
        <v>28.571428571428569</v>
      </c>
      <c r="H45" s="156">
        <f t="shared" si="10"/>
        <v>57.619047619047613</v>
      </c>
      <c r="I45" s="156">
        <f t="shared" si="11"/>
        <v>89.047619047619037</v>
      </c>
      <c r="J45" s="156">
        <f t="shared" si="12"/>
        <v>120</v>
      </c>
      <c r="K45" s="234"/>
    </row>
    <row r="46" spans="1:11">
      <c r="A46" s="167">
        <v>11320</v>
      </c>
      <c r="B46" s="87" t="s">
        <v>707</v>
      </c>
      <c r="C46" s="81"/>
      <c r="D46" s="156">
        <f t="shared" si="13"/>
        <v>1080</v>
      </c>
      <c r="E46" s="156">
        <v>1080</v>
      </c>
      <c r="F46" s="156" t="s">
        <v>0</v>
      </c>
      <c r="G46" s="156">
        <f t="shared" si="9"/>
        <v>257.14285714285711</v>
      </c>
      <c r="H46" s="156">
        <f t="shared" si="10"/>
        <v>518.57142857142856</v>
      </c>
      <c r="I46" s="156">
        <f t="shared" si="11"/>
        <v>801.42857142857144</v>
      </c>
      <c r="J46" s="156">
        <f t="shared" si="12"/>
        <v>1080</v>
      </c>
      <c r="K46" s="234"/>
    </row>
    <row r="47" spans="1:11" ht="42.75">
      <c r="A47" s="158">
        <v>1150</v>
      </c>
      <c r="B47" s="89" t="s">
        <v>708</v>
      </c>
      <c r="C47" s="154">
        <v>7146</v>
      </c>
      <c r="D47" s="91">
        <f>SUM(D48)</f>
        <v>55000</v>
      </c>
      <c r="E47" s="91">
        <f>SUM(E48)</f>
        <v>55000</v>
      </c>
      <c r="F47" s="91" t="s">
        <v>0</v>
      </c>
      <c r="G47" s="91">
        <f t="shared" ref="G47:J47" si="14">SUM(G48)</f>
        <v>13095.238095238095</v>
      </c>
      <c r="H47" s="91">
        <f t="shared" si="14"/>
        <v>26408.730158730155</v>
      </c>
      <c r="I47" s="91">
        <f t="shared" si="14"/>
        <v>40813.492063492064</v>
      </c>
      <c r="J47" s="91">
        <f t="shared" si="14"/>
        <v>55000</v>
      </c>
      <c r="K47" s="234"/>
    </row>
    <row r="48" spans="1:11" ht="27">
      <c r="A48" s="157">
        <v>1151</v>
      </c>
      <c r="B48" s="85" t="s">
        <v>842</v>
      </c>
      <c r="C48" s="81"/>
      <c r="D48" s="156">
        <f>SUM(D49,D50)</f>
        <v>55000</v>
      </c>
      <c r="E48" s="156">
        <f>SUM(E49,E50)</f>
        <v>55000</v>
      </c>
      <c r="F48" s="156" t="s">
        <v>0</v>
      </c>
      <c r="G48" s="156">
        <f t="shared" ref="G48:J48" si="15">SUM(G49,G50)</f>
        <v>13095.238095238095</v>
      </c>
      <c r="H48" s="156">
        <f t="shared" si="15"/>
        <v>26408.730158730155</v>
      </c>
      <c r="I48" s="156">
        <f t="shared" si="15"/>
        <v>40813.492063492064</v>
      </c>
      <c r="J48" s="156">
        <f t="shared" si="15"/>
        <v>55000</v>
      </c>
      <c r="K48" s="234"/>
    </row>
    <row r="49" spans="1:11" s="225" customFormat="1" ht="108">
      <c r="A49" s="157">
        <v>1152</v>
      </c>
      <c r="B49" s="85" t="s">
        <v>834</v>
      </c>
      <c r="C49" s="81"/>
      <c r="D49" s="156">
        <f>SUM(E49:F49)</f>
        <v>13000</v>
      </c>
      <c r="E49" s="156">
        <v>13000</v>
      </c>
      <c r="F49" s="156" t="s">
        <v>0</v>
      </c>
      <c r="G49" s="156">
        <f t="shared" ref="G49:G50" si="16">+D49/252*60</f>
        <v>3095.2380952380954</v>
      </c>
      <c r="H49" s="156">
        <f t="shared" ref="H49:H50" si="17">+D49/252*121</f>
        <v>6242.063492063492</v>
      </c>
      <c r="I49" s="156">
        <f t="shared" ref="I49:I50" si="18">+D49/252*187</f>
        <v>9646.8253968253975</v>
      </c>
      <c r="J49" s="156">
        <f t="shared" ref="J49:J50" si="19">+D49</f>
        <v>13000</v>
      </c>
      <c r="K49" s="234"/>
    </row>
    <row r="50" spans="1:11" ht="94.5">
      <c r="A50" s="160">
        <v>1153</v>
      </c>
      <c r="B50" s="85" t="s">
        <v>709</v>
      </c>
      <c r="C50" s="81"/>
      <c r="D50" s="156">
        <f>SUM(E50:F50)</f>
        <v>42000</v>
      </c>
      <c r="E50" s="156">
        <v>42000</v>
      </c>
      <c r="F50" s="156" t="s">
        <v>0</v>
      </c>
      <c r="G50" s="156">
        <f t="shared" si="16"/>
        <v>10000</v>
      </c>
      <c r="H50" s="156">
        <f t="shared" si="17"/>
        <v>20166.666666666664</v>
      </c>
      <c r="I50" s="156">
        <f t="shared" si="18"/>
        <v>31166.666666666664</v>
      </c>
      <c r="J50" s="156">
        <f t="shared" si="19"/>
        <v>42000</v>
      </c>
      <c r="K50" s="234"/>
    </row>
    <row r="51" spans="1:11" ht="28.5">
      <c r="A51" s="158">
        <v>1160</v>
      </c>
      <c r="B51" s="89" t="s">
        <v>710</v>
      </c>
      <c r="C51" s="154">
        <v>7161</v>
      </c>
      <c r="D51" s="91">
        <f>SUM(D52,D56)</f>
        <v>0</v>
      </c>
      <c r="E51" s="91">
        <f>SUM(E52,E56)</f>
        <v>0</v>
      </c>
      <c r="F51" s="91" t="s">
        <v>0</v>
      </c>
      <c r="G51" s="91">
        <f t="shared" ref="G51:J51" si="20">SUM(G52,G56)</f>
        <v>0</v>
      </c>
      <c r="H51" s="91">
        <f t="shared" si="20"/>
        <v>0</v>
      </c>
      <c r="I51" s="91">
        <f t="shared" si="20"/>
        <v>0</v>
      </c>
      <c r="J51" s="91">
        <f t="shared" si="20"/>
        <v>0</v>
      </c>
      <c r="K51" s="234"/>
    </row>
    <row r="52" spans="1:11" ht="67.5">
      <c r="A52" s="157">
        <v>1161</v>
      </c>
      <c r="B52" s="85" t="s">
        <v>835</v>
      </c>
      <c r="C52" s="81"/>
      <c r="D52" s="156">
        <f>SUM(D53:D55)</f>
        <v>0</v>
      </c>
      <c r="E52" s="156">
        <f>SUM(E53:E55)</f>
        <v>0</v>
      </c>
      <c r="F52" s="156" t="s">
        <v>0</v>
      </c>
      <c r="G52" s="156">
        <f t="shared" ref="G52:G56" si="21">+D52/252*60</f>
        <v>0</v>
      </c>
      <c r="H52" s="156">
        <f t="shared" ref="H52:H56" si="22">+D52/252*121</f>
        <v>0</v>
      </c>
      <c r="I52" s="156">
        <f t="shared" ref="I52:I56" si="23">+D52/252*187</f>
        <v>0</v>
      </c>
      <c r="J52" s="156">
        <f t="shared" ref="J52:J56" si="24">+D52</f>
        <v>0</v>
      </c>
      <c r="K52" s="234"/>
    </row>
    <row r="53" spans="1:11" s="225" customFormat="1" ht="27">
      <c r="A53" s="161">
        <v>1162</v>
      </c>
      <c r="B53" s="87" t="s">
        <v>744</v>
      </c>
      <c r="C53" s="81"/>
      <c r="D53" s="156">
        <f>SUM(E53:F53)</f>
        <v>0</v>
      </c>
      <c r="E53" s="156">
        <v>0</v>
      </c>
      <c r="F53" s="156" t="s">
        <v>0</v>
      </c>
      <c r="G53" s="156">
        <f t="shared" si="21"/>
        <v>0</v>
      </c>
      <c r="H53" s="156">
        <f t="shared" si="22"/>
        <v>0</v>
      </c>
      <c r="I53" s="156">
        <f t="shared" si="23"/>
        <v>0</v>
      </c>
      <c r="J53" s="156">
        <f t="shared" si="24"/>
        <v>0</v>
      </c>
      <c r="K53" s="234"/>
    </row>
    <row r="54" spans="1:11">
      <c r="A54" s="161">
        <v>1163</v>
      </c>
      <c r="B54" s="146" t="s">
        <v>711</v>
      </c>
      <c r="C54" s="81"/>
      <c r="D54" s="156">
        <f>SUM(E54:F54)</f>
        <v>0</v>
      </c>
      <c r="E54" s="162">
        <v>0</v>
      </c>
      <c r="F54" s="156" t="s">
        <v>0</v>
      </c>
      <c r="G54" s="156">
        <f t="shared" si="21"/>
        <v>0</v>
      </c>
      <c r="H54" s="156">
        <f t="shared" si="22"/>
        <v>0</v>
      </c>
      <c r="I54" s="156">
        <f t="shared" si="23"/>
        <v>0</v>
      </c>
      <c r="J54" s="156">
        <f t="shared" si="24"/>
        <v>0</v>
      </c>
      <c r="K54" s="234"/>
    </row>
    <row r="55" spans="1:11" ht="54">
      <c r="A55" s="161">
        <v>1164</v>
      </c>
      <c r="B55" s="146" t="s">
        <v>712</v>
      </c>
      <c r="C55" s="81"/>
      <c r="D55" s="156">
        <f>SUM(E55:F55)</f>
        <v>0</v>
      </c>
      <c r="E55" s="162">
        <v>0</v>
      </c>
      <c r="F55" s="156" t="s">
        <v>0</v>
      </c>
      <c r="G55" s="156">
        <f t="shared" si="21"/>
        <v>0</v>
      </c>
      <c r="H55" s="156">
        <f t="shared" si="22"/>
        <v>0</v>
      </c>
      <c r="I55" s="156">
        <f t="shared" si="23"/>
        <v>0</v>
      </c>
      <c r="J55" s="156">
        <f t="shared" si="24"/>
        <v>0</v>
      </c>
      <c r="K55" s="234"/>
    </row>
    <row r="56" spans="1:11" ht="81">
      <c r="A56" s="161">
        <v>1165</v>
      </c>
      <c r="B56" s="85" t="s">
        <v>713</v>
      </c>
      <c r="C56" s="81"/>
      <c r="D56" s="156">
        <f>SUM(E56:F56)</f>
        <v>0</v>
      </c>
      <c r="E56" s="162">
        <v>0</v>
      </c>
      <c r="F56" s="156" t="s">
        <v>0</v>
      </c>
      <c r="G56" s="156">
        <f t="shared" si="21"/>
        <v>0</v>
      </c>
      <c r="H56" s="156">
        <f t="shared" si="22"/>
        <v>0</v>
      </c>
      <c r="I56" s="156">
        <f t="shared" si="23"/>
        <v>0</v>
      </c>
      <c r="J56" s="156">
        <f t="shared" si="24"/>
        <v>0</v>
      </c>
      <c r="K56" s="234"/>
    </row>
    <row r="57" spans="1:11" ht="42.75">
      <c r="A57" s="158">
        <v>1200</v>
      </c>
      <c r="B57" s="89" t="s">
        <v>714</v>
      </c>
      <c r="C57" s="154">
        <v>7300</v>
      </c>
      <c r="D57" s="91">
        <f t="shared" ref="D57:F57" si="25">SUM(D58,D60,D62,D64,D66,D73)</f>
        <v>5177400.3279999997</v>
      </c>
      <c r="E57" s="91">
        <f t="shared" ref="E57" si="26">SUM(E58,E60,E62,E64,E66,E73)</f>
        <v>4015490.4</v>
      </c>
      <c r="F57" s="91">
        <f t="shared" si="25"/>
        <v>1161909.9280000001</v>
      </c>
      <c r="G57" s="91">
        <f t="shared" ref="G57:J57" si="27">SUM(G58,G60,G62,G64,G66,G73)</f>
        <v>2165782.5279999999</v>
      </c>
      <c r="H57" s="91">
        <f t="shared" si="27"/>
        <v>3169655.128</v>
      </c>
      <c r="I57" s="91">
        <f t="shared" si="27"/>
        <v>4173527.7280000001</v>
      </c>
      <c r="J57" s="91">
        <f t="shared" si="27"/>
        <v>5177400.3279999997</v>
      </c>
      <c r="K57" s="234"/>
    </row>
    <row r="58" spans="1:11" ht="57">
      <c r="A58" s="158">
        <v>1210</v>
      </c>
      <c r="B58" s="89" t="s">
        <v>745</v>
      </c>
      <c r="C58" s="154">
        <v>7311</v>
      </c>
      <c r="D58" s="91">
        <f>SUM(D59)</f>
        <v>0</v>
      </c>
      <c r="E58" s="91">
        <f>SUM(E59)</f>
        <v>0</v>
      </c>
      <c r="F58" s="91" t="s">
        <v>0</v>
      </c>
      <c r="G58" s="91">
        <f t="shared" ref="G58:J58" si="28">SUM(G59)</f>
        <v>0</v>
      </c>
      <c r="H58" s="91">
        <f t="shared" si="28"/>
        <v>0</v>
      </c>
      <c r="I58" s="91">
        <f t="shared" si="28"/>
        <v>0</v>
      </c>
      <c r="J58" s="91">
        <f t="shared" si="28"/>
        <v>0</v>
      </c>
      <c r="K58" s="234"/>
    </row>
    <row r="59" spans="1:11" s="225" customFormat="1" ht="81">
      <c r="A59" s="157">
        <v>1211</v>
      </c>
      <c r="B59" s="85" t="s">
        <v>746</v>
      </c>
      <c r="C59" s="88"/>
      <c r="D59" s="156">
        <f>SUM(E59:F59)</f>
        <v>0</v>
      </c>
      <c r="E59" s="162">
        <v>0</v>
      </c>
      <c r="F59" s="156" t="s">
        <v>0</v>
      </c>
      <c r="G59" s="156">
        <f>+D59/4</f>
        <v>0</v>
      </c>
      <c r="H59" s="156">
        <f>+D59/4*2</f>
        <v>0</v>
      </c>
      <c r="I59" s="156">
        <f>+D59/4*3</f>
        <v>0</v>
      </c>
      <c r="J59" s="156">
        <f>+D59</f>
        <v>0</v>
      </c>
      <c r="K59" s="234"/>
    </row>
    <row r="60" spans="1:11" s="225" customFormat="1" ht="42.75">
      <c r="A60" s="158">
        <v>1220</v>
      </c>
      <c r="B60" s="89" t="s">
        <v>715</v>
      </c>
      <c r="C60" s="90">
        <v>7312</v>
      </c>
      <c r="D60" s="91">
        <f>SUM(D61)</f>
        <v>0</v>
      </c>
      <c r="E60" s="91" t="s">
        <v>0</v>
      </c>
      <c r="F60" s="91">
        <f>SUM(F61)</f>
        <v>0</v>
      </c>
      <c r="G60" s="91">
        <f>SUM(G61)</f>
        <v>0</v>
      </c>
      <c r="H60" s="91">
        <f>SUM(H61)</f>
        <v>0</v>
      </c>
      <c r="I60" s="91">
        <f>SUM(I61)</f>
        <v>0</v>
      </c>
      <c r="J60" s="91">
        <f>SUM(J61)</f>
        <v>0</v>
      </c>
      <c r="K60" s="234"/>
    </row>
    <row r="61" spans="1:11" ht="81">
      <c r="A61" s="160">
        <v>1221</v>
      </c>
      <c r="B61" s="85" t="s">
        <v>747</v>
      </c>
      <c r="C61" s="88"/>
      <c r="D61" s="156">
        <f>SUM(E61:F61)</f>
        <v>0</v>
      </c>
      <c r="E61" s="156" t="s">
        <v>0</v>
      </c>
      <c r="F61" s="156">
        <v>0</v>
      </c>
      <c r="G61" s="156">
        <f>+D61/4</f>
        <v>0</v>
      </c>
      <c r="H61" s="156">
        <f>+D61/4*2</f>
        <v>0</v>
      </c>
      <c r="I61" s="156">
        <f>+D61/4*3</f>
        <v>0</v>
      </c>
      <c r="J61" s="156">
        <f>+D61</f>
        <v>0</v>
      </c>
      <c r="K61" s="234"/>
    </row>
    <row r="62" spans="1:11" s="225" customFormat="1" ht="42.75">
      <c r="A62" s="158">
        <v>1230</v>
      </c>
      <c r="B62" s="89" t="s">
        <v>716</v>
      </c>
      <c r="C62" s="90">
        <v>7321</v>
      </c>
      <c r="D62" s="91">
        <f>SUM(D63)</f>
        <v>0</v>
      </c>
      <c r="E62" s="91">
        <f>SUM(E63)</f>
        <v>0</v>
      </c>
      <c r="F62" s="91" t="s">
        <v>0</v>
      </c>
      <c r="G62" s="91">
        <f>SUM(G63)</f>
        <v>0</v>
      </c>
      <c r="H62" s="91">
        <f>SUM(H63)</f>
        <v>0</v>
      </c>
      <c r="I62" s="91">
        <f>SUM(I63)</f>
        <v>0</v>
      </c>
      <c r="J62" s="91">
        <f>SUM(J63)</f>
        <v>0</v>
      </c>
      <c r="K62" s="234"/>
    </row>
    <row r="63" spans="1:11" ht="54">
      <c r="A63" s="157">
        <v>1231</v>
      </c>
      <c r="B63" s="85" t="s">
        <v>843</v>
      </c>
      <c r="C63" s="88"/>
      <c r="D63" s="156">
        <f>SUM(E63:F63)</f>
        <v>0</v>
      </c>
      <c r="E63" s="162"/>
      <c r="F63" s="156" t="s">
        <v>0</v>
      </c>
      <c r="G63" s="162"/>
      <c r="H63" s="162"/>
      <c r="I63" s="162"/>
      <c r="J63" s="162">
        <f>+D63</f>
        <v>0</v>
      </c>
      <c r="K63" s="234"/>
    </row>
    <row r="64" spans="1:11" s="225" customFormat="1" ht="42.75">
      <c r="A64" s="158">
        <v>1240</v>
      </c>
      <c r="B64" s="89" t="s">
        <v>717</v>
      </c>
      <c r="C64" s="90">
        <v>7322</v>
      </c>
      <c r="D64" s="91">
        <f>SUM(D65)</f>
        <v>0</v>
      </c>
      <c r="E64" s="91" t="s">
        <v>0</v>
      </c>
      <c r="F64" s="91">
        <f>SUM(F65)</f>
        <v>0</v>
      </c>
      <c r="G64" s="91">
        <f>SUM(G65)</f>
        <v>0</v>
      </c>
      <c r="H64" s="91">
        <f>SUM(H65)</f>
        <v>0</v>
      </c>
      <c r="I64" s="91">
        <f>SUM(I65)</f>
        <v>0</v>
      </c>
      <c r="J64" s="91">
        <f>SUM(J65)</f>
        <v>0</v>
      </c>
      <c r="K64" s="234"/>
    </row>
    <row r="65" spans="1:11" ht="54">
      <c r="A65" s="157">
        <v>1241</v>
      </c>
      <c r="B65" s="85" t="s">
        <v>844</v>
      </c>
      <c r="C65" s="88"/>
      <c r="D65" s="156">
        <f>SUM(E65:F65)</f>
        <v>0</v>
      </c>
      <c r="E65" s="156" t="s">
        <v>0</v>
      </c>
      <c r="F65" s="162">
        <v>0</v>
      </c>
      <c r="G65" s="156">
        <f>+D65/4</f>
        <v>0</v>
      </c>
      <c r="H65" s="156">
        <f>+D65/4*2</f>
        <v>0</v>
      </c>
      <c r="I65" s="156">
        <f>+D65/4*3</f>
        <v>0</v>
      </c>
      <c r="J65" s="156">
        <f>+D65</f>
        <v>0</v>
      </c>
      <c r="K65" s="234"/>
    </row>
    <row r="66" spans="1:11" s="225" customFormat="1" ht="57">
      <c r="A66" s="158">
        <v>1250</v>
      </c>
      <c r="B66" s="89" t="s">
        <v>718</v>
      </c>
      <c r="C66" s="154">
        <v>7331</v>
      </c>
      <c r="D66" s="91">
        <f>SUM(D67,D68,D71,D72)</f>
        <v>4015490.4</v>
      </c>
      <c r="E66" s="91">
        <f>SUM(E67,E68,E71,E72)</f>
        <v>4015490.4</v>
      </c>
      <c r="F66" s="91" t="s">
        <v>0</v>
      </c>
      <c r="G66" s="91">
        <f>SUM(G67,G68,G71,G72)</f>
        <v>1003872.6</v>
      </c>
      <c r="H66" s="91">
        <f>SUM(H67,H68,H71,H72)</f>
        <v>2007745.2</v>
      </c>
      <c r="I66" s="91">
        <f>SUM(I67,I68,I71,I72)</f>
        <v>3011617.8</v>
      </c>
      <c r="J66" s="91">
        <f>SUM(J67,J68,J71,J72)</f>
        <v>4015490.4</v>
      </c>
      <c r="K66" s="234"/>
    </row>
    <row r="67" spans="1:11" ht="40.5">
      <c r="A67" s="157">
        <v>1251</v>
      </c>
      <c r="B67" s="85" t="s">
        <v>845</v>
      </c>
      <c r="C67" s="81"/>
      <c r="D67" s="156">
        <f>+E67</f>
        <v>4015490.4</v>
      </c>
      <c r="E67" s="156">
        <v>4015490.4</v>
      </c>
      <c r="F67" s="156" t="s">
        <v>0</v>
      </c>
      <c r="G67" s="156">
        <f>+D67/4</f>
        <v>1003872.6</v>
      </c>
      <c r="H67" s="156">
        <f>+D67/4*2</f>
        <v>2007745.2</v>
      </c>
      <c r="I67" s="156">
        <f>+D67/4*3</f>
        <v>3011617.8</v>
      </c>
      <c r="J67" s="156">
        <f>+D67</f>
        <v>4015490.4</v>
      </c>
      <c r="K67" s="234"/>
    </row>
    <row r="68" spans="1:11" s="225" customFormat="1" ht="27">
      <c r="A68" s="157">
        <v>1254</v>
      </c>
      <c r="B68" s="85" t="s">
        <v>719</v>
      </c>
      <c r="C68" s="88"/>
      <c r="D68" s="156">
        <f>SUM(D69:D70)</f>
        <v>0</v>
      </c>
      <c r="E68" s="156">
        <f>SUM(E69:E70)</f>
        <v>0</v>
      </c>
      <c r="F68" s="156" t="s">
        <v>0</v>
      </c>
      <c r="G68" s="156">
        <f>SUM(G69:G70)</f>
        <v>0</v>
      </c>
      <c r="H68" s="156">
        <f>SUM(H69:H70)</f>
        <v>0</v>
      </c>
      <c r="I68" s="156">
        <f>SUM(I69:I70)</f>
        <v>0</v>
      </c>
      <c r="J68" s="156">
        <f>SUM(J69:J70)</f>
        <v>0</v>
      </c>
      <c r="K68" s="234"/>
    </row>
    <row r="69" spans="1:11" ht="54">
      <c r="A69" s="157">
        <v>1255</v>
      </c>
      <c r="B69" s="87" t="s">
        <v>846</v>
      </c>
      <c r="C69" s="81"/>
      <c r="D69" s="156">
        <f>SUM(E69:F69)</f>
        <v>0</v>
      </c>
      <c r="E69" s="156">
        <v>0</v>
      </c>
      <c r="F69" s="156" t="s">
        <v>0</v>
      </c>
      <c r="G69" s="156">
        <f>+D69/4</f>
        <v>0</v>
      </c>
      <c r="H69" s="156">
        <f>+D69/4*2</f>
        <v>0</v>
      </c>
      <c r="I69" s="156">
        <f>+D69/4*3</f>
        <v>0</v>
      </c>
      <c r="J69" s="156">
        <f>+D69</f>
        <v>0</v>
      </c>
      <c r="K69" s="234"/>
    </row>
    <row r="70" spans="1:11">
      <c r="A70" s="157">
        <v>1256</v>
      </c>
      <c r="B70" s="146" t="s">
        <v>720</v>
      </c>
      <c r="C70" s="81"/>
      <c r="D70" s="156">
        <f>SUM(E70:F70)</f>
        <v>0</v>
      </c>
      <c r="E70" s="162">
        <v>0</v>
      </c>
      <c r="F70" s="156" t="s">
        <v>0</v>
      </c>
      <c r="G70" s="156">
        <f>+D70/4</f>
        <v>0</v>
      </c>
      <c r="H70" s="156">
        <f>+D70/4*2</f>
        <v>0</v>
      </c>
      <c r="I70" s="156">
        <f>+D70/4*3</f>
        <v>0</v>
      </c>
      <c r="J70" s="156">
        <f>+D70</f>
        <v>0</v>
      </c>
      <c r="K70" s="234"/>
    </row>
    <row r="71" spans="1:11" ht="27">
      <c r="A71" s="157">
        <v>1257</v>
      </c>
      <c r="B71" s="85" t="s">
        <v>721</v>
      </c>
      <c r="C71" s="88"/>
      <c r="D71" s="156">
        <f>SUM(E71:F71)</f>
        <v>0</v>
      </c>
      <c r="E71" s="162">
        <v>0</v>
      </c>
      <c r="F71" s="156" t="s">
        <v>0</v>
      </c>
      <c r="G71" s="156">
        <f>+D71/4</f>
        <v>0</v>
      </c>
      <c r="H71" s="156">
        <f>+D71/4*2</f>
        <v>0</v>
      </c>
      <c r="I71" s="156">
        <f>+D71/4*3</f>
        <v>0</v>
      </c>
      <c r="J71" s="156">
        <f>+D71</f>
        <v>0</v>
      </c>
      <c r="K71" s="234"/>
    </row>
    <row r="72" spans="1:11" ht="40.5">
      <c r="A72" s="157">
        <v>1258</v>
      </c>
      <c r="B72" s="85" t="s">
        <v>722</v>
      </c>
      <c r="C72" s="88"/>
      <c r="D72" s="156">
        <f>SUM(E72:F72)</f>
        <v>0</v>
      </c>
      <c r="E72" s="162">
        <v>0</v>
      </c>
      <c r="F72" s="156" t="s">
        <v>0</v>
      </c>
      <c r="G72" s="156">
        <f>+D72/4</f>
        <v>0</v>
      </c>
      <c r="H72" s="156">
        <f>+D72/4*2</f>
        <v>0</v>
      </c>
      <c r="I72" s="156">
        <f>+D72/4*3</f>
        <v>0</v>
      </c>
      <c r="J72" s="156">
        <f>+D72</f>
        <v>0</v>
      </c>
      <c r="K72" s="234"/>
    </row>
    <row r="73" spans="1:11" ht="42.75">
      <c r="A73" s="158">
        <v>1260</v>
      </c>
      <c r="B73" s="89" t="s">
        <v>723</v>
      </c>
      <c r="C73" s="154">
        <v>7332</v>
      </c>
      <c r="D73" s="91">
        <f>SUM(D74:D75)</f>
        <v>1161909.9280000001</v>
      </c>
      <c r="E73" s="91" t="s">
        <v>0</v>
      </c>
      <c r="F73" s="91">
        <f>SUM(F74:F75)</f>
        <v>1161909.9280000001</v>
      </c>
      <c r="G73" s="84">
        <f>SUM(G74:G75)</f>
        <v>1161909.9280000001</v>
      </c>
      <c r="H73" s="84">
        <f>SUM(H74:H75)</f>
        <v>1161909.9280000001</v>
      </c>
      <c r="I73" s="84">
        <f>SUM(I74:I75)</f>
        <v>1161909.9280000001</v>
      </c>
      <c r="J73" s="84">
        <f>SUM(J74:J75)</f>
        <v>1161909.9280000001</v>
      </c>
      <c r="K73" s="234"/>
    </row>
    <row r="74" spans="1:11" ht="40.5">
      <c r="A74" s="157">
        <v>1261</v>
      </c>
      <c r="B74" s="85" t="s">
        <v>847</v>
      </c>
      <c r="C74" s="88"/>
      <c r="D74" s="156">
        <f>SUM(E74:F74)</f>
        <v>1161909.9280000001</v>
      </c>
      <c r="E74" s="156" t="s">
        <v>0</v>
      </c>
      <c r="F74" s="156">
        <f>11217.5+1132577.828+18114.6</f>
        <v>1161909.9280000001</v>
      </c>
      <c r="G74" s="156">
        <v>1161909.9280000001</v>
      </c>
      <c r="H74" s="156">
        <v>1161909.9280000001</v>
      </c>
      <c r="I74" s="156">
        <v>1161909.9280000001</v>
      </c>
      <c r="J74" s="156">
        <f>+D74</f>
        <v>1161909.9280000001</v>
      </c>
      <c r="K74" s="234"/>
    </row>
    <row r="75" spans="1:11" s="225" customFormat="1" ht="40.5">
      <c r="A75" s="157">
        <v>1262</v>
      </c>
      <c r="B75" s="85" t="s">
        <v>724</v>
      </c>
      <c r="C75" s="88"/>
      <c r="D75" s="156">
        <f>SUM(E75:F75)</f>
        <v>0</v>
      </c>
      <c r="E75" s="156" t="s">
        <v>0</v>
      </c>
      <c r="F75" s="156">
        <v>0</v>
      </c>
      <c r="G75" s="156">
        <f>+D75/4</f>
        <v>0</v>
      </c>
      <c r="H75" s="156">
        <f>+D75/4*2</f>
        <v>0</v>
      </c>
      <c r="I75" s="156">
        <f>+D75/4*3</f>
        <v>0</v>
      </c>
      <c r="J75" s="156">
        <f>+D75</f>
        <v>0</v>
      </c>
      <c r="K75" s="234"/>
    </row>
    <row r="76" spans="1:11" ht="42.75">
      <c r="A76" s="153" t="s">
        <v>607</v>
      </c>
      <c r="B76" s="89" t="s">
        <v>848</v>
      </c>
      <c r="C76" s="154">
        <v>7400</v>
      </c>
      <c r="D76" s="91">
        <f t="shared" ref="D76:J76" si="29">SUM(D77,D79,D81,D86,D90,D116,D119,D122,D125)</f>
        <v>860661.78150000004</v>
      </c>
      <c r="E76" s="91">
        <f t="shared" si="29"/>
        <v>860661.78150000004</v>
      </c>
      <c r="F76" s="91">
        <f t="shared" si="29"/>
        <v>925983</v>
      </c>
      <c r="G76" s="84">
        <f t="shared" si="29"/>
        <v>239101.9901369283</v>
      </c>
      <c r="H76" s="84">
        <f t="shared" si="29"/>
        <v>446175.22424649447</v>
      </c>
      <c r="I76" s="84">
        <f t="shared" si="29"/>
        <v>667979.56236034958</v>
      </c>
      <c r="J76" s="84">
        <f t="shared" si="29"/>
        <v>860661.78150000004</v>
      </c>
      <c r="K76" s="234"/>
    </row>
    <row r="77" spans="1:11" ht="14.25">
      <c r="A77" s="153" t="s">
        <v>608</v>
      </c>
      <c r="B77" s="89" t="s">
        <v>849</v>
      </c>
      <c r="C77" s="154">
        <v>7411</v>
      </c>
      <c r="D77" s="91">
        <f>SUM(D78)</f>
        <v>0</v>
      </c>
      <c r="E77" s="91" t="s">
        <v>0</v>
      </c>
      <c r="F77" s="91">
        <f>SUM(F78)</f>
        <v>0</v>
      </c>
      <c r="G77" s="84">
        <f>SUM(G78)</f>
        <v>0</v>
      </c>
      <c r="H77" s="84">
        <f>SUM(H78)</f>
        <v>0</v>
      </c>
      <c r="I77" s="84">
        <f>SUM(I78)</f>
        <v>0</v>
      </c>
      <c r="J77" s="84">
        <f>SUM(J78)</f>
        <v>0</v>
      </c>
      <c r="K77" s="234"/>
    </row>
    <row r="78" spans="1:11" s="225" customFormat="1" ht="54">
      <c r="A78" s="155" t="s">
        <v>609</v>
      </c>
      <c r="B78" s="85" t="s">
        <v>850</v>
      </c>
      <c r="C78" s="88"/>
      <c r="D78" s="156">
        <f t="shared" ref="D78:D85" si="30">SUM(E78:F78)</f>
        <v>0</v>
      </c>
      <c r="E78" s="156" t="s">
        <v>0</v>
      </c>
      <c r="F78" s="156">
        <v>0</v>
      </c>
      <c r="G78" s="156">
        <f t="shared" ref="G78" si="31">+D78/253*62</f>
        <v>0</v>
      </c>
      <c r="H78" s="156">
        <f t="shared" ref="H78" si="32">+D78/253*123</f>
        <v>0</v>
      </c>
      <c r="I78" s="156">
        <f t="shared" ref="I78" si="33">+D78/253*188</f>
        <v>0</v>
      </c>
      <c r="J78" s="156">
        <f t="shared" ref="J78" si="34">+D78</f>
        <v>0</v>
      </c>
      <c r="K78" s="234"/>
    </row>
    <row r="79" spans="1:11" s="225" customFormat="1" ht="14.25">
      <c r="A79" s="153" t="s">
        <v>610</v>
      </c>
      <c r="B79" s="89" t="s">
        <v>725</v>
      </c>
      <c r="C79" s="154">
        <v>7412</v>
      </c>
      <c r="D79" s="91">
        <f>SUM(D80)</f>
        <v>0</v>
      </c>
      <c r="E79" s="91">
        <f>SUM(E80)</f>
        <v>0</v>
      </c>
      <c r="F79" s="91" t="s">
        <v>0</v>
      </c>
      <c r="G79" s="84">
        <f>SUM(G80)</f>
        <v>0</v>
      </c>
      <c r="H79" s="84">
        <f>SUM(H80)</f>
        <v>0</v>
      </c>
      <c r="I79" s="84">
        <f>SUM(I80)</f>
        <v>0</v>
      </c>
      <c r="J79" s="84">
        <f>SUM(J80)</f>
        <v>0</v>
      </c>
      <c r="K79" s="234"/>
    </row>
    <row r="80" spans="1:11" ht="54">
      <c r="A80" s="155" t="s">
        <v>611</v>
      </c>
      <c r="B80" s="85" t="s">
        <v>830</v>
      </c>
      <c r="C80" s="88"/>
      <c r="D80" s="156">
        <f t="shared" si="30"/>
        <v>0</v>
      </c>
      <c r="E80" s="156">
        <v>0</v>
      </c>
      <c r="F80" s="156" t="s">
        <v>0</v>
      </c>
      <c r="G80" s="156">
        <f t="shared" ref="G80" si="35">+D80/253*62</f>
        <v>0</v>
      </c>
      <c r="H80" s="156">
        <f t="shared" ref="H80" si="36">+D80/253*123</f>
        <v>0</v>
      </c>
      <c r="I80" s="156">
        <f t="shared" ref="I80" si="37">+D80/253*188</f>
        <v>0</v>
      </c>
      <c r="J80" s="156">
        <f t="shared" ref="J80" si="38">+D80</f>
        <v>0</v>
      </c>
      <c r="K80" s="234"/>
    </row>
    <row r="81" spans="1:11" s="225" customFormat="1" ht="28.5">
      <c r="A81" s="153" t="s">
        <v>612</v>
      </c>
      <c r="B81" s="89" t="s">
        <v>726</v>
      </c>
      <c r="C81" s="154">
        <v>7415</v>
      </c>
      <c r="D81" s="91">
        <f>SUM(D82:D85)</f>
        <v>156441.0815</v>
      </c>
      <c r="E81" s="91">
        <f>SUM(E82:E85)</f>
        <v>156441.0815</v>
      </c>
      <c r="F81" s="91" t="s">
        <v>0</v>
      </c>
      <c r="G81" s="84">
        <f>SUM(G82:G85)</f>
        <v>37247.876547619046</v>
      </c>
      <c r="H81" s="84">
        <f>SUM(H82:H85)</f>
        <v>75116.551037698402</v>
      </c>
      <c r="I81" s="84">
        <f>SUM(I82:I85)</f>
        <v>116089.21524007936</v>
      </c>
      <c r="J81" s="84">
        <f>SUM(J82:J85)</f>
        <v>156441.0815</v>
      </c>
      <c r="K81" s="234"/>
    </row>
    <row r="82" spans="1:11" ht="27">
      <c r="A82" s="155" t="s">
        <v>613</v>
      </c>
      <c r="B82" s="85" t="s">
        <v>851</v>
      </c>
      <c r="C82" s="88"/>
      <c r="D82" s="156">
        <f t="shared" si="30"/>
        <v>116706.48149999999</v>
      </c>
      <c r="E82" s="156">
        <f>21101.5+34844.185+50088.92+5311.8765+5000+360</f>
        <v>116706.48149999999</v>
      </c>
      <c r="F82" s="156" t="s">
        <v>0</v>
      </c>
      <c r="G82" s="156">
        <f t="shared" ref="G82:G85" si="39">+D82/252*60</f>
        <v>27787.2575</v>
      </c>
      <c r="H82" s="156">
        <f t="shared" ref="H82:H85" si="40">+D82/252*121</f>
        <v>56037.635958333332</v>
      </c>
      <c r="I82" s="156">
        <f t="shared" ref="I82:I85" si="41">+D82/252*187</f>
        <v>86603.61920833333</v>
      </c>
      <c r="J82" s="156">
        <f t="shared" ref="J82:J85" si="42">+D82</f>
        <v>116706.48149999999</v>
      </c>
      <c r="K82" s="234"/>
    </row>
    <row r="83" spans="1:11" s="225" customFormat="1" ht="40.5">
      <c r="A83" s="155" t="s">
        <v>614</v>
      </c>
      <c r="B83" s="85" t="s">
        <v>727</v>
      </c>
      <c r="C83" s="88"/>
      <c r="D83" s="156">
        <f t="shared" si="30"/>
        <v>0</v>
      </c>
      <c r="E83" s="156"/>
      <c r="F83" s="156" t="s">
        <v>0</v>
      </c>
      <c r="G83" s="156">
        <f t="shared" si="39"/>
        <v>0</v>
      </c>
      <c r="H83" s="156">
        <f t="shared" si="40"/>
        <v>0</v>
      </c>
      <c r="I83" s="156">
        <f t="shared" si="41"/>
        <v>0</v>
      </c>
      <c r="J83" s="156">
        <f t="shared" si="42"/>
        <v>0</v>
      </c>
      <c r="K83" s="234"/>
    </row>
    <row r="84" spans="1:11" ht="54">
      <c r="A84" s="155" t="s">
        <v>615</v>
      </c>
      <c r="B84" s="85" t="s">
        <v>728</v>
      </c>
      <c r="C84" s="88"/>
      <c r="D84" s="156">
        <f t="shared" si="30"/>
        <v>0</v>
      </c>
      <c r="E84" s="156"/>
      <c r="F84" s="156" t="s">
        <v>0</v>
      </c>
      <c r="G84" s="156">
        <f t="shared" si="39"/>
        <v>0</v>
      </c>
      <c r="H84" s="156">
        <f t="shared" si="40"/>
        <v>0</v>
      </c>
      <c r="I84" s="156">
        <f t="shared" si="41"/>
        <v>0</v>
      </c>
      <c r="J84" s="156">
        <f t="shared" si="42"/>
        <v>0</v>
      </c>
      <c r="K84" s="234"/>
    </row>
    <row r="85" spans="1:11">
      <c r="A85" s="159" t="s">
        <v>616</v>
      </c>
      <c r="B85" s="85" t="s">
        <v>729</v>
      </c>
      <c r="C85" s="88"/>
      <c r="D85" s="156">
        <f t="shared" si="30"/>
        <v>39734.6</v>
      </c>
      <c r="E85" s="156">
        <f>38509.6+1225</f>
        <v>39734.6</v>
      </c>
      <c r="F85" s="156" t="s">
        <v>0</v>
      </c>
      <c r="G85" s="156">
        <f t="shared" si="39"/>
        <v>9460.6190476190459</v>
      </c>
      <c r="H85" s="156">
        <f t="shared" si="40"/>
        <v>19078.915079365077</v>
      </c>
      <c r="I85" s="156">
        <f t="shared" si="41"/>
        <v>29485.596031746027</v>
      </c>
      <c r="J85" s="156">
        <f t="shared" si="42"/>
        <v>39734.6</v>
      </c>
      <c r="K85" s="234"/>
    </row>
    <row r="86" spans="1:11" ht="57">
      <c r="A86" s="153" t="s">
        <v>617</v>
      </c>
      <c r="B86" s="89" t="s">
        <v>831</v>
      </c>
      <c r="C86" s="154">
        <v>7421</v>
      </c>
      <c r="D86" s="91">
        <f>SUM(D87:D89)</f>
        <v>0</v>
      </c>
      <c r="E86" s="91">
        <f>SUM(E87:E89)</f>
        <v>0</v>
      </c>
      <c r="F86" s="91" t="s">
        <v>0</v>
      </c>
      <c r="G86" s="84">
        <f>SUM(G87:G89)</f>
        <v>0</v>
      </c>
      <c r="H86" s="84">
        <f>SUM(H87:H89)</f>
        <v>0</v>
      </c>
      <c r="I86" s="84">
        <f>SUM(I87:I89)</f>
        <v>0</v>
      </c>
      <c r="J86" s="84">
        <f>SUM(J87:J89)</f>
        <v>0</v>
      </c>
      <c r="K86" s="234"/>
    </row>
    <row r="87" spans="1:11" ht="108">
      <c r="A87" s="155" t="s">
        <v>618</v>
      </c>
      <c r="B87" s="85" t="s">
        <v>852</v>
      </c>
      <c r="C87" s="88"/>
      <c r="D87" s="156">
        <f>SUM(E87:F87)</f>
        <v>0</v>
      </c>
      <c r="E87" s="156">
        <v>0</v>
      </c>
      <c r="F87" s="156" t="s">
        <v>0</v>
      </c>
      <c r="G87" s="156">
        <f t="shared" ref="G87:G89" si="43">+D87/253*62</f>
        <v>0</v>
      </c>
      <c r="H87" s="156">
        <f t="shared" ref="H87:H89" si="44">+D87/253*123</f>
        <v>0</v>
      </c>
      <c r="I87" s="156">
        <f t="shared" ref="I87:I89" si="45">+D87/253*188</f>
        <v>0</v>
      </c>
      <c r="J87" s="156">
        <f t="shared" ref="J87:J89" si="46">+D87</f>
        <v>0</v>
      </c>
      <c r="K87" s="234"/>
    </row>
    <row r="88" spans="1:11" s="225" customFormat="1" ht="54">
      <c r="A88" s="155" t="s">
        <v>619</v>
      </c>
      <c r="B88" s="85" t="s">
        <v>730</v>
      </c>
      <c r="C88" s="81"/>
      <c r="D88" s="156">
        <f>SUM(E88:F88)</f>
        <v>0</v>
      </c>
      <c r="E88" s="156"/>
      <c r="F88" s="156" t="s">
        <v>0</v>
      </c>
      <c r="G88" s="156">
        <f t="shared" si="43"/>
        <v>0</v>
      </c>
      <c r="H88" s="156">
        <f t="shared" si="44"/>
        <v>0</v>
      </c>
      <c r="I88" s="156">
        <f t="shared" si="45"/>
        <v>0</v>
      </c>
      <c r="J88" s="156">
        <f t="shared" si="46"/>
        <v>0</v>
      </c>
      <c r="K88" s="234"/>
    </row>
    <row r="89" spans="1:11" ht="67.5">
      <c r="A89" s="159" t="s">
        <v>654</v>
      </c>
      <c r="B89" s="93" t="s">
        <v>731</v>
      </c>
      <c r="C89" s="81"/>
      <c r="D89" s="156">
        <f>SUM(E89:F89)</f>
        <v>0</v>
      </c>
      <c r="E89" s="162"/>
      <c r="F89" s="156" t="s">
        <v>0</v>
      </c>
      <c r="G89" s="156">
        <f t="shared" si="43"/>
        <v>0</v>
      </c>
      <c r="H89" s="156">
        <f t="shared" si="44"/>
        <v>0</v>
      </c>
      <c r="I89" s="156">
        <f t="shared" si="45"/>
        <v>0</v>
      </c>
      <c r="J89" s="156">
        <f t="shared" si="46"/>
        <v>0</v>
      </c>
      <c r="K89" s="234"/>
    </row>
    <row r="90" spans="1:11" s="225" customFormat="1" ht="28.5">
      <c r="A90" s="153" t="s">
        <v>620</v>
      </c>
      <c r="B90" s="89" t="s">
        <v>732</v>
      </c>
      <c r="C90" s="154">
        <v>7422</v>
      </c>
      <c r="D90" s="91">
        <f>D91+D114+D115</f>
        <v>558287</v>
      </c>
      <c r="E90" s="91">
        <f>E91+E114+E115</f>
        <v>558287</v>
      </c>
      <c r="F90" s="91" t="s">
        <v>0</v>
      </c>
      <c r="G90" s="84">
        <f>G91+G114+G115</f>
        <v>133298.47073216637</v>
      </c>
      <c r="H90" s="84">
        <f>H91+H114+H115</f>
        <v>268388.12678022461</v>
      </c>
      <c r="I90" s="84">
        <f>I91+I114+I115</f>
        <v>422308.59354884177</v>
      </c>
      <c r="J90" s="84">
        <f>J91+J114+J115</f>
        <v>558287</v>
      </c>
      <c r="K90" s="234"/>
    </row>
    <row r="91" spans="1:11" s="225" customFormat="1" ht="14.25">
      <c r="A91" s="155" t="s">
        <v>621</v>
      </c>
      <c r="B91" s="85" t="s">
        <v>853</v>
      </c>
      <c r="C91" s="89"/>
      <c r="D91" s="156">
        <f>SUM(D93,D94,D95,D96,D97,D98,D99,D103,D104,D105,D106,D107,D108,D109,D110,D111,D112,D113)</f>
        <v>504787</v>
      </c>
      <c r="E91" s="156">
        <f>SUM(E93,E94,E95,E96,E97,E98,E99,E103,E104,E105,E106,E107,E108,E109,E110,E111,E112,E113)</f>
        <v>504787</v>
      </c>
      <c r="F91" s="156" t="s">
        <v>0</v>
      </c>
      <c r="G91" s="156">
        <f t="shared" ref="G91:J91" si="47">SUM(G93,G94,G95,G96,G97,G98,G99,G103,G104,G105,G106,G107,G108,G109,G110,G111,G112,G113)</f>
        <v>120187.79879540749</v>
      </c>
      <c r="H91" s="156">
        <f t="shared" si="47"/>
        <v>242378.24535729969</v>
      </c>
      <c r="I91" s="156">
        <f t="shared" si="47"/>
        <v>382553.65283737931</v>
      </c>
      <c r="J91" s="156">
        <f t="shared" si="47"/>
        <v>504787</v>
      </c>
      <c r="K91" s="234"/>
    </row>
    <row r="92" spans="1:11" s="225" customFormat="1" ht="14.25">
      <c r="A92" s="155"/>
      <c r="B92" s="85" t="s">
        <v>375</v>
      </c>
      <c r="C92" s="89"/>
      <c r="D92" s="156"/>
      <c r="E92" s="156"/>
      <c r="F92" s="156"/>
      <c r="G92" s="156"/>
      <c r="H92" s="156"/>
      <c r="I92" s="156"/>
      <c r="J92" s="156"/>
      <c r="K92" s="234"/>
    </row>
    <row r="93" spans="1:11" s="225" customFormat="1" ht="67.5">
      <c r="A93" s="155" t="s">
        <v>655</v>
      </c>
      <c r="B93" s="85" t="s">
        <v>656</v>
      </c>
      <c r="C93" s="81"/>
      <c r="D93" s="156">
        <f t="shared" ref="D93:D98" si="48">E93</f>
        <v>1000</v>
      </c>
      <c r="E93" s="156">
        <v>1000</v>
      </c>
      <c r="F93" s="156" t="s">
        <v>0</v>
      </c>
      <c r="G93" s="156">
        <f t="shared" ref="G93:G94" si="49">+D93/252*60</f>
        <v>238.0952380952381</v>
      </c>
      <c r="H93" s="156">
        <f t="shared" ref="H93:H94" si="50">+D93/252*121</f>
        <v>480.15873015873018</v>
      </c>
      <c r="I93" s="156">
        <f t="shared" ref="I93:I94" si="51">+D93/252*187</f>
        <v>742.06349206349205</v>
      </c>
      <c r="J93" s="156">
        <f t="shared" ref="J93:J98" si="52">+D93</f>
        <v>1000</v>
      </c>
      <c r="K93" s="234"/>
    </row>
    <row r="94" spans="1:11" s="225" customFormat="1" ht="121.5">
      <c r="A94" s="155" t="s">
        <v>657</v>
      </c>
      <c r="B94" s="85" t="s">
        <v>658</v>
      </c>
      <c r="C94" s="81"/>
      <c r="D94" s="156">
        <f t="shared" si="48"/>
        <v>960</v>
      </c>
      <c r="E94" s="156">
        <v>960</v>
      </c>
      <c r="F94" s="156" t="s">
        <v>0</v>
      </c>
      <c r="G94" s="156">
        <f t="shared" si="49"/>
        <v>228.57142857142856</v>
      </c>
      <c r="H94" s="156">
        <f t="shared" si="50"/>
        <v>460.95238095238091</v>
      </c>
      <c r="I94" s="156">
        <f t="shared" si="51"/>
        <v>712.38095238095229</v>
      </c>
      <c r="J94" s="156">
        <f t="shared" si="52"/>
        <v>960</v>
      </c>
      <c r="K94" s="234"/>
    </row>
    <row r="95" spans="1:11" s="225" customFormat="1" ht="54">
      <c r="A95" s="155" t="s">
        <v>659</v>
      </c>
      <c r="B95" s="85" t="s">
        <v>660</v>
      </c>
      <c r="C95" s="81"/>
      <c r="D95" s="156">
        <f t="shared" si="48"/>
        <v>0</v>
      </c>
      <c r="E95" s="156"/>
      <c r="F95" s="156" t="s">
        <v>0</v>
      </c>
      <c r="G95" s="156">
        <f t="shared" ref="G95" si="53">+D95/253*62</f>
        <v>0</v>
      </c>
      <c r="H95" s="156">
        <f t="shared" ref="H95" si="54">+D95/253*123</f>
        <v>0</v>
      </c>
      <c r="I95" s="156">
        <f t="shared" ref="I95" si="55">+D95/253*188</f>
        <v>0</v>
      </c>
      <c r="J95" s="156">
        <f t="shared" si="52"/>
        <v>0</v>
      </c>
      <c r="K95" s="234"/>
    </row>
    <row r="96" spans="1:11" s="225" customFormat="1" ht="67.5">
      <c r="A96" s="155" t="s">
        <v>661</v>
      </c>
      <c r="B96" s="85" t="s">
        <v>662</v>
      </c>
      <c r="C96" s="81"/>
      <c r="D96" s="156">
        <f t="shared" si="48"/>
        <v>675</v>
      </c>
      <c r="E96" s="156">
        <v>675</v>
      </c>
      <c r="F96" s="156" t="s">
        <v>0</v>
      </c>
      <c r="G96" s="156">
        <f t="shared" ref="G96:G98" si="56">+D96/252*60</f>
        <v>160.71428571428569</v>
      </c>
      <c r="H96" s="156">
        <f t="shared" ref="H96:H98" si="57">+D96/252*121</f>
        <v>324.10714285714283</v>
      </c>
      <c r="I96" s="156">
        <f t="shared" ref="I96:I98" si="58">+D96/252*187</f>
        <v>500.89285714285711</v>
      </c>
      <c r="J96" s="156">
        <f t="shared" si="52"/>
        <v>675</v>
      </c>
      <c r="K96" s="234"/>
    </row>
    <row r="97" spans="1:11" s="225" customFormat="1" ht="27">
      <c r="A97" s="155" t="s">
        <v>663</v>
      </c>
      <c r="B97" s="85" t="s">
        <v>664</v>
      </c>
      <c r="C97" s="81"/>
      <c r="D97" s="156">
        <f t="shared" si="48"/>
        <v>3600</v>
      </c>
      <c r="E97" s="156">
        <v>3600</v>
      </c>
      <c r="F97" s="156" t="s">
        <v>0</v>
      </c>
      <c r="G97" s="156">
        <f t="shared" si="56"/>
        <v>857.14285714285722</v>
      </c>
      <c r="H97" s="156">
        <f t="shared" si="57"/>
        <v>1728.5714285714287</v>
      </c>
      <c r="I97" s="156">
        <f t="shared" si="58"/>
        <v>2671.4285714285716</v>
      </c>
      <c r="J97" s="156">
        <f t="shared" si="52"/>
        <v>3600</v>
      </c>
      <c r="K97" s="234"/>
    </row>
    <row r="98" spans="1:11" s="225" customFormat="1" ht="40.5">
      <c r="A98" s="155" t="s">
        <v>665</v>
      </c>
      <c r="B98" s="85" t="s">
        <v>666</v>
      </c>
      <c r="C98" s="81"/>
      <c r="D98" s="156">
        <f t="shared" si="48"/>
        <v>20</v>
      </c>
      <c r="E98" s="156">
        <v>20</v>
      </c>
      <c r="F98" s="156" t="s">
        <v>0</v>
      </c>
      <c r="G98" s="156">
        <f t="shared" si="56"/>
        <v>4.7619047619047619</v>
      </c>
      <c r="H98" s="156">
        <f t="shared" si="57"/>
        <v>9.6031746031746028</v>
      </c>
      <c r="I98" s="156">
        <f t="shared" si="58"/>
        <v>14.84126984126984</v>
      </c>
      <c r="J98" s="156">
        <f t="shared" si="52"/>
        <v>20</v>
      </c>
      <c r="K98" s="234"/>
    </row>
    <row r="99" spans="1:11" s="225" customFormat="1" ht="14.25">
      <c r="A99" s="155" t="s">
        <v>667</v>
      </c>
      <c r="B99" s="92" t="s">
        <v>668</v>
      </c>
      <c r="C99" s="81"/>
      <c r="D99" s="156">
        <f>SUM(D100:D102)</f>
        <v>260300</v>
      </c>
      <c r="E99" s="156">
        <f>SUM(E100:E102)</f>
        <v>260300</v>
      </c>
      <c r="F99" s="156" t="s">
        <v>0</v>
      </c>
      <c r="G99" s="156">
        <f t="shared" ref="G99:J99" si="59">SUM(G100:G102)</f>
        <v>61976.190476190473</v>
      </c>
      <c r="H99" s="156">
        <f t="shared" si="59"/>
        <v>124985.31746031746</v>
      </c>
      <c r="I99" s="156">
        <f t="shared" si="59"/>
        <v>193159.12698412698</v>
      </c>
      <c r="J99" s="156">
        <f t="shared" si="59"/>
        <v>260300</v>
      </c>
      <c r="K99" s="234"/>
    </row>
    <row r="100" spans="1:11" s="225" customFormat="1" ht="40.5">
      <c r="A100" s="155"/>
      <c r="B100" s="85" t="s">
        <v>669</v>
      </c>
      <c r="C100" s="81"/>
      <c r="D100" s="156">
        <f t="shared" ref="D100:D114" si="60">E100</f>
        <v>147700</v>
      </c>
      <c r="E100" s="156">
        <f>9000+138700</f>
        <v>147700</v>
      </c>
      <c r="F100" s="156" t="s">
        <v>0</v>
      </c>
      <c r="G100" s="156">
        <f t="shared" ref="G100:G102" si="61">+D100/252*60</f>
        <v>35166.666666666664</v>
      </c>
      <c r="H100" s="156">
        <f t="shared" ref="H100:H102" si="62">+D100/252*121</f>
        <v>70919.444444444438</v>
      </c>
      <c r="I100" s="156">
        <f t="shared" ref="I100:I102" si="63">+D100/252*187</f>
        <v>109602.77777777777</v>
      </c>
      <c r="J100" s="156">
        <f t="shared" ref="J100:J115" si="64">+D100</f>
        <v>147700</v>
      </c>
      <c r="K100" s="234"/>
    </row>
    <row r="101" spans="1:11" s="225" customFormat="1" ht="54">
      <c r="A101" s="155"/>
      <c r="B101" s="85" t="s">
        <v>670</v>
      </c>
      <c r="C101" s="81"/>
      <c r="D101" s="156">
        <f t="shared" si="60"/>
        <v>106600</v>
      </c>
      <c r="E101" s="156">
        <f>10000+96600</f>
        <v>106600</v>
      </c>
      <c r="F101" s="156" t="s">
        <v>0</v>
      </c>
      <c r="G101" s="156">
        <f t="shared" si="61"/>
        <v>25380.952380952382</v>
      </c>
      <c r="H101" s="156">
        <f t="shared" si="62"/>
        <v>51184.920634920636</v>
      </c>
      <c r="I101" s="156">
        <f t="shared" si="63"/>
        <v>79103.968253968254</v>
      </c>
      <c r="J101" s="156">
        <f t="shared" si="64"/>
        <v>106600</v>
      </c>
      <c r="K101" s="234"/>
    </row>
    <row r="102" spans="1:11" s="225" customFormat="1" ht="14.25">
      <c r="A102" s="155"/>
      <c r="B102" s="85" t="s">
        <v>671</v>
      </c>
      <c r="C102" s="81"/>
      <c r="D102" s="156">
        <f t="shared" si="60"/>
        <v>6000</v>
      </c>
      <c r="E102" s="156">
        <v>6000</v>
      </c>
      <c r="F102" s="156" t="s">
        <v>0</v>
      </c>
      <c r="G102" s="156">
        <f t="shared" si="61"/>
        <v>1428.5714285714287</v>
      </c>
      <c r="H102" s="156">
        <f t="shared" si="62"/>
        <v>2880.9523809523812</v>
      </c>
      <c r="I102" s="156">
        <f t="shared" si="63"/>
        <v>4452.3809523809523</v>
      </c>
      <c r="J102" s="156">
        <f t="shared" si="64"/>
        <v>6000</v>
      </c>
      <c r="K102" s="234"/>
    </row>
    <row r="103" spans="1:11" s="225" customFormat="1" ht="81">
      <c r="A103" s="155" t="s">
        <v>672</v>
      </c>
      <c r="B103" s="85" t="s">
        <v>673</v>
      </c>
      <c r="C103" s="81"/>
      <c r="D103" s="156">
        <f t="shared" si="60"/>
        <v>0</v>
      </c>
      <c r="E103" s="156">
        <v>0</v>
      </c>
      <c r="F103" s="156" t="s">
        <v>0</v>
      </c>
      <c r="G103" s="156">
        <f t="shared" ref="G103:G115" si="65">+D103/253*62</f>
        <v>0</v>
      </c>
      <c r="H103" s="156">
        <f t="shared" ref="H103:H115" si="66">+D103/253*123</f>
        <v>0</v>
      </c>
      <c r="I103" s="156">
        <f t="shared" ref="I103:I115" si="67">+D103/253*188</f>
        <v>0</v>
      </c>
      <c r="J103" s="156">
        <f t="shared" si="64"/>
        <v>0</v>
      </c>
      <c r="K103" s="234"/>
    </row>
    <row r="104" spans="1:11" s="225" customFormat="1" ht="54">
      <c r="A104" s="155" t="s">
        <v>674</v>
      </c>
      <c r="B104" s="85" t="s">
        <v>675</v>
      </c>
      <c r="C104" s="81"/>
      <c r="D104" s="156">
        <f t="shared" si="60"/>
        <v>0</v>
      </c>
      <c r="E104" s="156">
        <v>0</v>
      </c>
      <c r="F104" s="156" t="s">
        <v>0</v>
      </c>
      <c r="G104" s="156">
        <f t="shared" si="65"/>
        <v>0</v>
      </c>
      <c r="H104" s="156">
        <f t="shared" si="66"/>
        <v>0</v>
      </c>
      <c r="I104" s="156">
        <f t="shared" si="67"/>
        <v>0</v>
      </c>
      <c r="J104" s="156">
        <f t="shared" si="64"/>
        <v>0</v>
      </c>
      <c r="K104" s="234"/>
    </row>
    <row r="105" spans="1:11" s="225" customFormat="1" ht="67.5">
      <c r="A105" s="155" t="s">
        <v>676</v>
      </c>
      <c r="B105" s="85" t="s">
        <v>677</v>
      </c>
      <c r="C105" s="81"/>
      <c r="D105" s="156">
        <f t="shared" si="60"/>
        <v>0</v>
      </c>
      <c r="E105" s="156">
        <v>0</v>
      </c>
      <c r="F105" s="156" t="s">
        <v>0</v>
      </c>
      <c r="G105" s="156">
        <f t="shared" si="65"/>
        <v>0</v>
      </c>
      <c r="H105" s="156">
        <f t="shared" si="66"/>
        <v>0</v>
      </c>
      <c r="I105" s="156">
        <f t="shared" si="67"/>
        <v>0</v>
      </c>
      <c r="J105" s="156">
        <f t="shared" si="64"/>
        <v>0</v>
      </c>
      <c r="K105" s="234"/>
    </row>
    <row r="106" spans="1:11" s="225" customFormat="1" ht="135">
      <c r="A106" s="155" t="s">
        <v>678</v>
      </c>
      <c r="B106" s="85" t="s">
        <v>733</v>
      </c>
      <c r="C106" s="81"/>
      <c r="D106" s="156">
        <f t="shared" si="60"/>
        <v>0</v>
      </c>
      <c r="E106" s="156">
        <v>0</v>
      </c>
      <c r="F106" s="156" t="s">
        <v>0</v>
      </c>
      <c r="G106" s="156">
        <f t="shared" si="65"/>
        <v>0</v>
      </c>
      <c r="H106" s="156">
        <f t="shared" si="66"/>
        <v>0</v>
      </c>
      <c r="I106" s="156">
        <f t="shared" si="67"/>
        <v>0</v>
      </c>
      <c r="J106" s="156">
        <f t="shared" si="64"/>
        <v>0</v>
      </c>
      <c r="K106" s="234"/>
    </row>
    <row r="107" spans="1:11" s="225" customFormat="1" ht="54">
      <c r="A107" s="155" t="s">
        <v>679</v>
      </c>
      <c r="B107" s="85" t="s">
        <v>680</v>
      </c>
      <c r="C107" s="81"/>
      <c r="D107" s="156">
        <f t="shared" si="60"/>
        <v>0</v>
      </c>
      <c r="E107" s="156">
        <v>0</v>
      </c>
      <c r="F107" s="156" t="s">
        <v>0</v>
      </c>
      <c r="G107" s="156">
        <f t="shared" si="65"/>
        <v>0</v>
      </c>
      <c r="H107" s="156">
        <f t="shared" si="66"/>
        <v>0</v>
      </c>
      <c r="I107" s="156">
        <f t="shared" si="67"/>
        <v>0</v>
      </c>
      <c r="J107" s="156">
        <f t="shared" si="64"/>
        <v>0</v>
      </c>
      <c r="K107" s="234"/>
    </row>
    <row r="108" spans="1:11" s="225" customFormat="1" ht="67.5">
      <c r="A108" s="155" t="s">
        <v>681</v>
      </c>
      <c r="B108" s="85" t="s">
        <v>682</v>
      </c>
      <c r="C108" s="81"/>
      <c r="D108" s="156">
        <f t="shared" si="60"/>
        <v>120672</v>
      </c>
      <c r="E108" s="156">
        <v>120672</v>
      </c>
      <c r="F108" s="156" t="s">
        <v>0</v>
      </c>
      <c r="G108" s="156">
        <f t="shared" ref="G108:G111" si="68">+D108/252*60</f>
        <v>28731.428571428569</v>
      </c>
      <c r="H108" s="156">
        <f t="shared" ref="H108:H111" si="69">+D108/252*121</f>
        <v>57941.714285714283</v>
      </c>
      <c r="I108" s="156">
        <v>100546.285714285</v>
      </c>
      <c r="J108" s="156">
        <f t="shared" si="64"/>
        <v>120672</v>
      </c>
      <c r="K108" s="234"/>
    </row>
    <row r="109" spans="1:11" s="225" customFormat="1" ht="94.5">
      <c r="A109" s="155" t="s">
        <v>683</v>
      </c>
      <c r="B109" s="85" t="s">
        <v>684</v>
      </c>
      <c r="C109" s="81"/>
      <c r="D109" s="156">
        <f t="shared" si="60"/>
        <v>92300</v>
      </c>
      <c r="E109" s="156">
        <f>41284.1+51015.9</f>
        <v>92300</v>
      </c>
      <c r="F109" s="156" t="s">
        <v>0</v>
      </c>
      <c r="G109" s="156">
        <f t="shared" si="68"/>
        <v>21976.190476190477</v>
      </c>
      <c r="H109" s="156">
        <f t="shared" si="69"/>
        <v>44318.650793650791</v>
      </c>
      <c r="I109" s="156">
        <v>65462.048015872999</v>
      </c>
      <c r="J109" s="156">
        <f t="shared" si="64"/>
        <v>92300</v>
      </c>
      <c r="K109" s="234"/>
    </row>
    <row r="110" spans="1:11" s="225" customFormat="1" ht="94.5">
      <c r="A110" s="155" t="s">
        <v>685</v>
      </c>
      <c r="B110" s="85" t="s">
        <v>686</v>
      </c>
      <c r="C110" s="81"/>
      <c r="D110" s="156">
        <f t="shared" si="60"/>
        <v>0</v>
      </c>
      <c r="E110" s="156"/>
      <c r="F110" s="156" t="s">
        <v>0</v>
      </c>
      <c r="G110" s="156">
        <f t="shared" si="68"/>
        <v>0</v>
      </c>
      <c r="H110" s="156">
        <f t="shared" si="69"/>
        <v>0</v>
      </c>
      <c r="I110" s="156">
        <f t="shared" ref="I110:I111" si="70">+D110/252*187</f>
        <v>0</v>
      </c>
      <c r="J110" s="156">
        <f t="shared" si="64"/>
        <v>0</v>
      </c>
      <c r="K110" s="234"/>
    </row>
    <row r="111" spans="1:11" s="225" customFormat="1" ht="54">
      <c r="A111" s="155" t="s">
        <v>687</v>
      </c>
      <c r="B111" s="85" t="s">
        <v>688</v>
      </c>
      <c r="C111" s="81"/>
      <c r="D111" s="156">
        <f t="shared" si="60"/>
        <v>25200</v>
      </c>
      <c r="E111" s="156">
        <v>25200</v>
      </c>
      <c r="F111" s="156" t="s">
        <v>0</v>
      </c>
      <c r="G111" s="156">
        <f t="shared" si="68"/>
        <v>6000</v>
      </c>
      <c r="H111" s="156">
        <f t="shared" si="69"/>
        <v>12100</v>
      </c>
      <c r="I111" s="156">
        <f t="shared" si="70"/>
        <v>18700</v>
      </c>
      <c r="J111" s="156">
        <f t="shared" si="64"/>
        <v>25200</v>
      </c>
      <c r="K111" s="234"/>
    </row>
    <row r="112" spans="1:11" s="225" customFormat="1" ht="14.25">
      <c r="A112" s="155" t="s">
        <v>689</v>
      </c>
      <c r="B112" s="85" t="s">
        <v>690</v>
      </c>
      <c r="C112" s="81"/>
      <c r="D112" s="156">
        <f t="shared" si="60"/>
        <v>0</v>
      </c>
      <c r="E112" s="156"/>
      <c r="F112" s="156" t="s">
        <v>0</v>
      </c>
      <c r="G112" s="156">
        <f t="shared" si="65"/>
        <v>0</v>
      </c>
      <c r="H112" s="156">
        <f t="shared" si="66"/>
        <v>0</v>
      </c>
      <c r="I112" s="156">
        <f t="shared" si="67"/>
        <v>0</v>
      </c>
      <c r="J112" s="156">
        <f t="shared" si="64"/>
        <v>0</v>
      </c>
      <c r="K112" s="234"/>
    </row>
    <row r="113" spans="1:11" s="225" customFormat="1" ht="27">
      <c r="A113" s="155" t="s">
        <v>691</v>
      </c>
      <c r="B113" s="85" t="s">
        <v>692</v>
      </c>
      <c r="C113" s="81"/>
      <c r="D113" s="156">
        <f t="shared" si="60"/>
        <v>60</v>
      </c>
      <c r="E113" s="156">
        <v>60</v>
      </c>
      <c r="F113" s="156" t="s">
        <v>0</v>
      </c>
      <c r="G113" s="156">
        <f t="shared" si="65"/>
        <v>14.703557312252963</v>
      </c>
      <c r="H113" s="156">
        <f t="shared" si="66"/>
        <v>29.169960474308301</v>
      </c>
      <c r="I113" s="156">
        <f t="shared" si="67"/>
        <v>44.584980237154149</v>
      </c>
      <c r="J113" s="156">
        <f t="shared" si="64"/>
        <v>60</v>
      </c>
      <c r="K113" s="234"/>
    </row>
    <row r="114" spans="1:11" s="225" customFormat="1" ht="40.5">
      <c r="A114" s="155" t="s">
        <v>622</v>
      </c>
      <c r="B114" s="85" t="s">
        <v>693</v>
      </c>
      <c r="C114" s="81"/>
      <c r="D114" s="156">
        <f t="shared" si="60"/>
        <v>53500</v>
      </c>
      <c r="E114" s="156">
        <v>53500</v>
      </c>
      <c r="F114" s="156" t="s">
        <v>0</v>
      </c>
      <c r="G114" s="156">
        <f t="shared" si="65"/>
        <v>13110.671936758894</v>
      </c>
      <c r="H114" s="156">
        <f t="shared" si="66"/>
        <v>26009.8814229249</v>
      </c>
      <c r="I114" s="156">
        <f t="shared" si="67"/>
        <v>39754.940711462448</v>
      </c>
      <c r="J114" s="156">
        <f t="shared" si="64"/>
        <v>53500</v>
      </c>
      <c r="K114" s="234"/>
    </row>
    <row r="115" spans="1:11" s="225" customFormat="1" ht="14.25">
      <c r="A115" s="155" t="s">
        <v>637</v>
      </c>
      <c r="B115" s="85" t="s">
        <v>694</v>
      </c>
      <c r="C115" s="81"/>
      <c r="D115" s="156">
        <f>E115</f>
        <v>0</v>
      </c>
      <c r="E115" s="156"/>
      <c r="F115" s="156" t="s">
        <v>0</v>
      </c>
      <c r="G115" s="156">
        <f t="shared" si="65"/>
        <v>0</v>
      </c>
      <c r="H115" s="156">
        <f t="shared" si="66"/>
        <v>0</v>
      </c>
      <c r="I115" s="156">
        <f t="shared" si="67"/>
        <v>0</v>
      </c>
      <c r="J115" s="156">
        <f t="shared" si="64"/>
        <v>0</v>
      </c>
      <c r="K115" s="234"/>
    </row>
    <row r="116" spans="1:11" ht="28.5">
      <c r="A116" s="153" t="s">
        <v>623</v>
      </c>
      <c r="B116" s="89" t="s">
        <v>734</v>
      </c>
      <c r="C116" s="154">
        <v>7431</v>
      </c>
      <c r="D116" s="91">
        <f>SUM(D117:D118)</f>
        <v>1600</v>
      </c>
      <c r="E116" s="91">
        <f>SUM(E117:E118)</f>
        <v>1600</v>
      </c>
      <c r="F116" s="91" t="s">
        <v>0</v>
      </c>
      <c r="G116" s="84">
        <f>SUM(G117:G118)</f>
        <v>380.95238095238091</v>
      </c>
      <c r="H116" s="84">
        <f>SUM(H117:H118)</f>
        <v>768.2539682539682</v>
      </c>
      <c r="I116" s="84">
        <f>SUM(I117:I118)</f>
        <v>1187.3015873015872</v>
      </c>
      <c r="J116" s="84">
        <f>SUM(J117:J118)</f>
        <v>1600</v>
      </c>
      <c r="K116" s="234"/>
    </row>
    <row r="117" spans="1:11" ht="54">
      <c r="A117" s="155" t="s">
        <v>624</v>
      </c>
      <c r="B117" s="85" t="s">
        <v>854</v>
      </c>
      <c r="C117" s="88"/>
      <c r="D117" s="156">
        <f>SUM(E117:F117)</f>
        <v>1600</v>
      </c>
      <c r="E117" s="156">
        <v>1600</v>
      </c>
      <c r="F117" s="156" t="s">
        <v>0</v>
      </c>
      <c r="G117" s="156">
        <f>+D117/252*60</f>
        <v>380.95238095238091</v>
      </c>
      <c r="H117" s="156">
        <f t="shared" ref="H117" si="71">+D117/252*121</f>
        <v>768.2539682539682</v>
      </c>
      <c r="I117" s="156">
        <f>+D117/252*187</f>
        <v>1187.3015873015872</v>
      </c>
      <c r="J117" s="156">
        <f t="shared" ref="J117" si="72">+D117</f>
        <v>1600</v>
      </c>
      <c r="K117" s="234"/>
    </row>
    <row r="118" spans="1:11" s="225" customFormat="1" ht="40.5">
      <c r="A118" s="155" t="s">
        <v>625</v>
      </c>
      <c r="B118" s="85" t="s">
        <v>735</v>
      </c>
      <c r="C118" s="88"/>
      <c r="D118" s="156">
        <f>SUM(E118:F118)</f>
        <v>0</v>
      </c>
      <c r="E118" s="156">
        <v>0</v>
      </c>
      <c r="F118" s="156" t="s">
        <v>0</v>
      </c>
      <c r="G118" s="156"/>
      <c r="H118" s="156"/>
      <c r="I118" s="156"/>
      <c r="J118" s="156"/>
      <c r="K118" s="234"/>
    </row>
    <row r="119" spans="1:11" ht="28.5">
      <c r="A119" s="153" t="s">
        <v>626</v>
      </c>
      <c r="B119" s="89" t="s">
        <v>736</v>
      </c>
      <c r="C119" s="154">
        <v>7441</v>
      </c>
      <c r="D119" s="91">
        <f>SUM(D120:D121)</f>
        <v>5000</v>
      </c>
      <c r="E119" s="91">
        <f>SUM(E120:E121)</f>
        <v>5000</v>
      </c>
      <c r="F119" s="91" t="s">
        <v>0</v>
      </c>
      <c r="G119" s="91">
        <f t="shared" ref="G119:J119" si="73">SUM(G120:G121)</f>
        <v>5000</v>
      </c>
      <c r="H119" s="91">
        <f t="shared" si="73"/>
        <v>5000</v>
      </c>
      <c r="I119" s="91">
        <f t="shared" si="73"/>
        <v>5000</v>
      </c>
      <c r="J119" s="91">
        <f t="shared" si="73"/>
        <v>5000</v>
      </c>
      <c r="K119" s="234"/>
    </row>
    <row r="120" spans="1:11" s="225" customFormat="1" ht="121.5">
      <c r="A120" s="155" t="s">
        <v>627</v>
      </c>
      <c r="B120" s="85" t="s">
        <v>855</v>
      </c>
      <c r="C120" s="88"/>
      <c r="D120" s="156">
        <f>SUM(E120:F120)</f>
        <v>0</v>
      </c>
      <c r="E120" s="156">
        <v>0</v>
      </c>
      <c r="F120" s="156" t="s">
        <v>0</v>
      </c>
      <c r="G120" s="156"/>
      <c r="H120" s="156"/>
      <c r="I120" s="156"/>
      <c r="J120" s="156"/>
      <c r="K120" s="234"/>
    </row>
    <row r="121" spans="1:11" s="225" customFormat="1" ht="108">
      <c r="A121" s="159" t="s">
        <v>628</v>
      </c>
      <c r="B121" s="85" t="s">
        <v>737</v>
      </c>
      <c r="C121" s="88"/>
      <c r="D121" s="156">
        <f>SUM(E121:F121)</f>
        <v>5000</v>
      </c>
      <c r="E121" s="156">
        <v>5000</v>
      </c>
      <c r="F121" s="156" t="s">
        <v>0</v>
      </c>
      <c r="G121" s="156">
        <v>5000</v>
      </c>
      <c r="H121" s="156">
        <v>5000</v>
      </c>
      <c r="I121" s="156">
        <v>5000</v>
      </c>
      <c r="J121" s="156">
        <f>+E121</f>
        <v>5000</v>
      </c>
      <c r="K121" s="234"/>
    </row>
    <row r="122" spans="1:11" s="225" customFormat="1" ht="28.5">
      <c r="A122" s="153" t="s">
        <v>629</v>
      </c>
      <c r="B122" s="89" t="s">
        <v>738</v>
      </c>
      <c r="C122" s="154">
        <v>7442</v>
      </c>
      <c r="D122" s="91">
        <f>SUM(D123:D124)</f>
        <v>0</v>
      </c>
      <c r="E122" s="91" t="s">
        <v>0</v>
      </c>
      <c r="F122" s="91">
        <f>SUM(F123:F124)</f>
        <v>0</v>
      </c>
      <c r="G122" s="91">
        <f>SUM(G123:G124)</f>
        <v>0</v>
      </c>
      <c r="H122" s="91">
        <f>SUM(H123:H124)</f>
        <v>0</v>
      </c>
      <c r="I122" s="91">
        <f>SUM(I123:I124)</f>
        <v>0</v>
      </c>
      <c r="J122" s="91">
        <f>SUM(J123:J124)</f>
        <v>0</v>
      </c>
      <c r="K122" s="234"/>
    </row>
    <row r="123" spans="1:11" s="225" customFormat="1" ht="135">
      <c r="A123" s="155" t="s">
        <v>630</v>
      </c>
      <c r="B123" s="93" t="s">
        <v>832</v>
      </c>
      <c r="C123" s="88"/>
      <c r="D123" s="156">
        <f>SUM(E123:F123)</f>
        <v>0</v>
      </c>
      <c r="E123" s="156" t="s">
        <v>0</v>
      </c>
      <c r="F123" s="156"/>
      <c r="G123" s="156"/>
      <c r="H123" s="156"/>
      <c r="I123" s="156"/>
      <c r="J123" s="156"/>
      <c r="K123" s="234"/>
    </row>
    <row r="124" spans="1:11" s="225" customFormat="1" ht="121.5">
      <c r="A124" s="155" t="s">
        <v>631</v>
      </c>
      <c r="B124" s="85" t="s">
        <v>739</v>
      </c>
      <c r="C124" s="88"/>
      <c r="D124" s="156">
        <f>SUM(E124:F124)</f>
        <v>0</v>
      </c>
      <c r="E124" s="156" t="s">
        <v>0</v>
      </c>
      <c r="F124" s="156">
        <v>0</v>
      </c>
      <c r="G124" s="156"/>
      <c r="H124" s="156"/>
      <c r="I124" s="156"/>
      <c r="J124" s="156"/>
      <c r="K124" s="234"/>
    </row>
    <row r="125" spans="1:11" ht="28.5">
      <c r="A125" s="163" t="s">
        <v>632</v>
      </c>
      <c r="B125" s="89" t="s">
        <v>833</v>
      </c>
      <c r="C125" s="154">
        <v>7452</v>
      </c>
      <c r="D125" s="91">
        <f>+D126+D128</f>
        <v>139333.70000000001</v>
      </c>
      <c r="E125" s="91">
        <f>SUM(E126:E128)</f>
        <v>139333.70000000001</v>
      </c>
      <c r="F125" s="91">
        <f>SUM(F126:F128)</f>
        <v>925983</v>
      </c>
      <c r="G125" s="91">
        <f>+G126+G128</f>
        <v>63174.690476190503</v>
      </c>
      <c r="H125" s="91">
        <f>+H126+H128</f>
        <v>96902.292460317505</v>
      </c>
      <c r="I125" s="91">
        <f>+I126+I128</f>
        <v>123394.45198412699</v>
      </c>
      <c r="J125" s="91">
        <f>+J126+J128</f>
        <v>139333.70000000001</v>
      </c>
      <c r="K125" s="234"/>
    </row>
    <row r="126" spans="1:11" s="225" customFormat="1" ht="27">
      <c r="A126" s="155" t="s">
        <v>633</v>
      </c>
      <c r="B126" s="85" t="s">
        <v>829</v>
      </c>
      <c r="C126" s="88"/>
      <c r="D126" s="156">
        <f>SUM(E126:F126)</f>
        <v>0</v>
      </c>
      <c r="E126" s="156" t="s">
        <v>0</v>
      </c>
      <c r="F126" s="156">
        <v>0</v>
      </c>
      <c r="G126" s="156"/>
      <c r="H126" s="156"/>
      <c r="I126" s="156"/>
      <c r="J126" s="156"/>
      <c r="K126" s="234"/>
    </row>
    <row r="127" spans="1:11" s="225" customFormat="1" ht="27">
      <c r="A127" s="155" t="s">
        <v>634</v>
      </c>
      <c r="B127" s="85" t="s">
        <v>740</v>
      </c>
      <c r="C127" s="88"/>
      <c r="D127" s="156">
        <f>+F127</f>
        <v>925983</v>
      </c>
      <c r="E127" s="156" t="s">
        <v>0</v>
      </c>
      <c r="F127" s="164">
        <f>+'4.Gorcarakan ev tntesagitakan'!J781</f>
        <v>925983</v>
      </c>
      <c r="G127" s="164">
        <f>+'4.Gorcarakan ev tntesagitakan'!K781</f>
        <v>345364</v>
      </c>
      <c r="H127" s="164">
        <f>+'4.Gorcarakan ev tntesagitakan'!L781</f>
        <v>532603</v>
      </c>
      <c r="I127" s="164">
        <f>+'4.Gorcarakan ev tntesagitakan'!M781</f>
        <v>726707</v>
      </c>
      <c r="J127" s="164">
        <f>+'4.Gorcarakan ev tntesagitakan'!N781</f>
        <v>925983</v>
      </c>
      <c r="K127" s="234"/>
    </row>
    <row r="128" spans="1:11" ht="40.5">
      <c r="A128" s="155" t="s">
        <v>635</v>
      </c>
      <c r="B128" s="85" t="s">
        <v>741</v>
      </c>
      <c r="C128" s="88"/>
      <c r="D128" s="156">
        <f>SUM(E128:F128)</f>
        <v>139333.70000000001</v>
      </c>
      <c r="E128" s="247">
        <f>990+720+77623.7+60000</f>
        <v>139333.70000000001</v>
      </c>
      <c r="F128" s="156">
        <v>0</v>
      </c>
      <c r="G128" s="156">
        <v>63174.690476190503</v>
      </c>
      <c r="H128" s="156">
        <v>96902.292460317505</v>
      </c>
      <c r="I128" s="156">
        <v>123394.45198412699</v>
      </c>
      <c r="J128" s="156">
        <f t="shared" ref="J128" si="74">+D128</f>
        <v>139333.70000000001</v>
      </c>
      <c r="K128" s="234"/>
    </row>
    <row r="129" spans="1:9">
      <c r="A129" s="94"/>
      <c r="C129" s="94"/>
      <c r="E129" s="94"/>
      <c r="F129" s="94"/>
      <c r="H129" s="94"/>
      <c r="I129" s="94"/>
    </row>
    <row r="130" spans="1:9">
      <c r="A130" s="94"/>
      <c r="C130" s="94"/>
      <c r="E130" s="94"/>
      <c r="F130" s="94"/>
      <c r="H130" s="94"/>
      <c r="I130" s="94"/>
    </row>
    <row r="131" spans="1:9">
      <c r="A131" s="94"/>
      <c r="C131" s="94"/>
      <c r="E131" s="94"/>
      <c r="F131" s="94"/>
      <c r="H131" s="94"/>
      <c r="I131" s="94"/>
    </row>
    <row r="132" spans="1:9">
      <c r="A132" s="94"/>
      <c r="C132" s="94"/>
      <c r="E132" s="94"/>
      <c r="F132" s="94"/>
      <c r="H132" s="94"/>
      <c r="I132" s="94"/>
    </row>
    <row r="133" spans="1:9">
      <c r="A133" s="94"/>
      <c r="C133" s="94"/>
      <c r="E133" s="94"/>
      <c r="F133" s="94"/>
      <c r="H133" s="94"/>
      <c r="I133" s="94"/>
    </row>
    <row r="134" spans="1:9">
      <c r="A134" s="94"/>
      <c r="C134" s="94"/>
      <c r="E134" s="94"/>
      <c r="F134" s="94"/>
      <c r="H134" s="94"/>
      <c r="I134" s="94"/>
    </row>
    <row r="135" spans="1:9">
      <c r="A135" s="94"/>
      <c r="C135" s="94"/>
      <c r="E135" s="94"/>
      <c r="F135" s="94"/>
      <c r="H135" s="94"/>
      <c r="I135" s="94"/>
    </row>
    <row r="136" spans="1:9">
      <c r="A136" s="94"/>
      <c r="C136" s="94"/>
      <c r="E136" s="94"/>
      <c r="F136" s="94"/>
      <c r="H136" s="94"/>
      <c r="I136" s="94"/>
    </row>
    <row r="137" spans="1:9">
      <c r="A137" s="94"/>
      <c r="C137" s="94"/>
      <c r="E137" s="94"/>
      <c r="F137" s="94"/>
      <c r="H137" s="94"/>
      <c r="I137" s="94"/>
    </row>
    <row r="138" spans="1:9">
      <c r="A138" s="94"/>
      <c r="C138" s="94"/>
      <c r="E138" s="94"/>
      <c r="F138" s="94"/>
      <c r="H138" s="94"/>
      <c r="I138" s="94"/>
    </row>
    <row r="139" spans="1:9">
      <c r="A139" s="94"/>
      <c r="C139" s="94"/>
      <c r="E139" s="94"/>
      <c r="F139" s="94"/>
      <c r="H139" s="94"/>
      <c r="I139" s="94"/>
    </row>
    <row r="140" spans="1:9">
      <c r="A140" s="94"/>
      <c r="C140" s="94"/>
      <c r="E140" s="94"/>
      <c r="F140" s="94"/>
      <c r="H140" s="94"/>
      <c r="I140" s="94"/>
    </row>
    <row r="141" spans="1:9">
      <c r="A141" s="94"/>
      <c r="C141" s="94"/>
      <c r="E141" s="94"/>
      <c r="F141" s="94"/>
      <c r="H141" s="94"/>
      <c r="I141" s="94"/>
    </row>
    <row r="142" spans="1:9">
      <c r="A142" s="94"/>
      <c r="C142" s="94"/>
      <c r="E142" s="94"/>
      <c r="F142" s="94"/>
      <c r="H142" s="94"/>
      <c r="I142" s="94"/>
    </row>
    <row r="143" spans="1:9">
      <c r="A143" s="94"/>
      <c r="C143" s="94"/>
      <c r="E143" s="94"/>
      <c r="F143" s="94"/>
      <c r="H143" s="94"/>
      <c r="I143" s="94"/>
    </row>
    <row r="144" spans="1:9">
      <c r="A144" s="94"/>
      <c r="C144" s="94"/>
      <c r="E144" s="94"/>
      <c r="F144" s="94"/>
      <c r="H144" s="94"/>
      <c r="I144" s="94"/>
    </row>
    <row r="145" spans="1:9">
      <c r="A145" s="94"/>
      <c r="C145" s="94"/>
      <c r="E145" s="94"/>
      <c r="F145" s="94"/>
      <c r="H145" s="94"/>
      <c r="I145" s="94"/>
    </row>
    <row r="146" spans="1:9">
      <c r="A146" s="94"/>
      <c r="C146" s="94"/>
      <c r="E146" s="94"/>
      <c r="F146" s="94"/>
      <c r="H146" s="94"/>
      <c r="I146" s="94"/>
    </row>
    <row r="147" spans="1:9">
      <c r="A147" s="94"/>
      <c r="C147" s="94"/>
      <c r="E147" s="94"/>
      <c r="F147" s="94"/>
      <c r="H147" s="94"/>
      <c r="I147" s="94"/>
    </row>
    <row r="148" spans="1:9">
      <c r="A148" s="94"/>
      <c r="C148" s="94"/>
      <c r="E148" s="94"/>
      <c r="F148" s="94"/>
      <c r="H148" s="94"/>
      <c r="I148" s="94"/>
    </row>
    <row r="149" spans="1:9">
      <c r="A149" s="94"/>
      <c r="C149" s="94"/>
      <c r="E149" s="94"/>
      <c r="F149" s="94"/>
      <c r="H149" s="94"/>
      <c r="I149" s="94"/>
    </row>
    <row r="150" spans="1:9">
      <c r="A150" s="94"/>
      <c r="C150" s="94"/>
      <c r="E150" s="94"/>
      <c r="F150" s="94"/>
      <c r="H150" s="94"/>
      <c r="I150" s="94"/>
    </row>
    <row r="151" spans="1:9">
      <c r="A151" s="94"/>
      <c r="C151" s="94"/>
      <c r="E151" s="94"/>
      <c r="F151" s="94"/>
      <c r="H151" s="94"/>
      <c r="I151" s="94"/>
    </row>
    <row r="152" spans="1:9">
      <c r="A152" s="94"/>
      <c r="C152" s="94"/>
      <c r="E152" s="94"/>
      <c r="F152" s="94"/>
      <c r="H152" s="94"/>
      <c r="I152" s="94"/>
    </row>
    <row r="153" spans="1:9">
      <c r="A153" s="94"/>
      <c r="C153" s="94"/>
      <c r="E153" s="94"/>
      <c r="F153" s="94"/>
      <c r="H153" s="94"/>
      <c r="I153" s="94"/>
    </row>
    <row r="154" spans="1:9">
      <c r="A154" s="94"/>
      <c r="C154" s="94"/>
      <c r="E154" s="94"/>
      <c r="F154" s="94"/>
      <c r="H154" s="94"/>
      <c r="I154" s="94"/>
    </row>
    <row r="155" spans="1:9">
      <c r="A155" s="94"/>
      <c r="C155" s="94"/>
      <c r="E155" s="94"/>
      <c r="F155" s="94"/>
      <c r="H155" s="94"/>
      <c r="I155" s="94"/>
    </row>
    <row r="156" spans="1:9">
      <c r="A156" s="94"/>
      <c r="C156" s="94"/>
      <c r="E156" s="94"/>
      <c r="F156" s="94"/>
      <c r="H156" s="94"/>
      <c r="I156" s="94"/>
    </row>
    <row r="157" spans="1:9">
      <c r="A157" s="94"/>
      <c r="C157" s="94"/>
      <c r="E157" s="94"/>
      <c r="F157" s="94"/>
      <c r="H157" s="94"/>
      <c r="I157" s="94"/>
    </row>
    <row r="158" spans="1:9">
      <c r="A158" s="94"/>
      <c r="C158" s="94"/>
      <c r="E158" s="94"/>
      <c r="F158" s="94"/>
      <c r="H158" s="94"/>
      <c r="I158" s="94"/>
    </row>
    <row r="159" spans="1:9">
      <c r="A159" s="94"/>
      <c r="C159" s="94"/>
      <c r="E159" s="94"/>
      <c r="F159" s="94"/>
      <c r="H159" s="94"/>
      <c r="I159" s="94"/>
    </row>
    <row r="160" spans="1:9">
      <c r="A160" s="94"/>
      <c r="C160" s="94"/>
      <c r="E160" s="94"/>
      <c r="F160" s="94"/>
      <c r="H160" s="94"/>
      <c r="I160" s="94"/>
    </row>
    <row r="161" spans="1:9">
      <c r="A161" s="94"/>
      <c r="C161" s="94"/>
      <c r="E161" s="94"/>
      <c r="F161" s="94"/>
      <c r="H161" s="94"/>
      <c r="I161" s="94"/>
    </row>
    <row r="162" spans="1:9">
      <c r="A162" s="94"/>
      <c r="C162" s="94"/>
      <c r="E162" s="94"/>
      <c r="F162" s="94"/>
      <c r="H162" s="94"/>
      <c r="I162" s="94"/>
    </row>
    <row r="163" spans="1:9">
      <c r="A163" s="94"/>
      <c r="C163" s="94"/>
      <c r="E163" s="94"/>
      <c r="F163" s="94"/>
      <c r="H163" s="94"/>
      <c r="I163" s="94"/>
    </row>
    <row r="164" spans="1:9">
      <c r="A164" s="94"/>
      <c r="C164" s="94"/>
      <c r="E164" s="94"/>
      <c r="F164" s="94"/>
      <c r="H164" s="94"/>
      <c r="I164" s="94"/>
    </row>
    <row r="165" spans="1:9">
      <c r="A165" s="94"/>
      <c r="C165" s="94"/>
      <c r="E165" s="94"/>
      <c r="F165" s="94"/>
      <c r="H165" s="94"/>
      <c r="I165" s="94"/>
    </row>
  </sheetData>
  <protectedRanges>
    <protectedRange sqref="E59" name="Range7"/>
    <protectedRange sqref="E117:E118 E120:E121 F123:F124 F126 E128:F128" name="Range4"/>
    <protectedRange sqref="E49:E50 E53:E56 F61 E63 F65" name="Range2"/>
    <protectedRange sqref="E19:E21 G65:J65 G63:J63 G59:J59 G92:J92 G118:J118 G120:J121 G124:J124 G126:J126 G67:J67 G69:J72 G74:J75" name="Range1"/>
    <protectedRange sqref="E69:E72 F78 E80 E82:E85 E87 F75 E89" name="Range3"/>
    <protectedRange sqref="A9 F9" name="Range8"/>
    <protectedRange sqref="E28" name="Range1_1"/>
    <protectedRange sqref="E27 E29:E46" name="Range3_1"/>
    <protectedRange sqref="E92:E94 E100:E115 E96:E98" name="Range3_2"/>
  </protectedRanges>
  <mergeCells count="12">
    <mergeCell ref="G8:J8"/>
    <mergeCell ref="G2:J2"/>
    <mergeCell ref="G3:J3"/>
    <mergeCell ref="G4:J4"/>
    <mergeCell ref="G6:J6"/>
    <mergeCell ref="G7:J7"/>
    <mergeCell ref="C12:C14"/>
    <mergeCell ref="A9:F9"/>
    <mergeCell ref="A10:F10"/>
    <mergeCell ref="G12:J12"/>
    <mergeCell ref="D13:D14"/>
    <mergeCell ref="G13:J13"/>
  </mergeCells>
  <pageMargins left="0.2" right="0.2" top="0.25" bottom="0.25" header="0" footer="0"/>
  <pageSetup paperSize="9" scale="90" firstPageNumber="77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315"/>
  <sheetViews>
    <sheetView workbookViewId="0">
      <selection activeCell="I3" sqref="I3:L3"/>
    </sheetView>
  </sheetViews>
  <sheetFormatPr defaultRowHeight="17.25"/>
  <cols>
    <col min="1" max="1" width="6" style="43" customWidth="1"/>
    <col min="2" max="2" width="5" style="48" customWidth="1"/>
    <col min="3" max="3" width="5.28515625" style="49" customWidth="1"/>
    <col min="4" max="4" width="4.5703125" style="50" customWidth="1"/>
    <col min="5" max="5" width="44.28515625" style="47" customWidth="1"/>
    <col min="6" max="6" width="14.7109375" style="37" customWidth="1"/>
    <col min="7" max="7" width="15.5703125" style="37" customWidth="1"/>
    <col min="8" max="8" width="15.140625" style="37" customWidth="1"/>
    <col min="9" max="12" width="17.140625" style="37" customWidth="1"/>
    <col min="13" max="15" width="14.85546875" style="37" bestFit="1" customWidth="1"/>
    <col min="16" max="16" width="12.140625" style="37" bestFit="1" customWidth="1"/>
    <col min="17" max="16384" width="9.140625" style="37"/>
  </cols>
  <sheetData>
    <row r="1" spans="1:29" ht="17.25" customHeight="1">
      <c r="I1" s="94"/>
      <c r="J1" s="147"/>
      <c r="K1" s="147"/>
      <c r="L1" s="147" t="s">
        <v>869</v>
      </c>
    </row>
    <row r="2" spans="1:29" s="94" customFormat="1" ht="13.5" customHeight="1">
      <c r="A2" s="147"/>
      <c r="C2" s="147"/>
      <c r="E2" s="147"/>
      <c r="F2" s="147"/>
      <c r="G2" s="19"/>
      <c r="H2" s="19"/>
      <c r="I2" s="260" t="s">
        <v>601</v>
      </c>
      <c r="J2" s="260"/>
      <c r="K2" s="260"/>
      <c r="L2" s="260"/>
    </row>
    <row r="3" spans="1:29" s="94" customFormat="1" ht="13.5" customHeight="1">
      <c r="A3" s="147"/>
      <c r="C3" s="147"/>
      <c r="E3" s="147"/>
      <c r="F3" s="147"/>
      <c r="G3" s="19"/>
      <c r="H3" s="19"/>
      <c r="I3" s="260" t="s">
        <v>875</v>
      </c>
      <c r="J3" s="260"/>
      <c r="K3" s="260"/>
      <c r="L3" s="260"/>
    </row>
    <row r="4" spans="1:29" s="94" customFormat="1" ht="13.5" customHeight="1">
      <c r="A4" s="147"/>
      <c r="C4" s="147"/>
      <c r="E4" s="147"/>
      <c r="F4" s="147"/>
      <c r="G4" s="19"/>
      <c r="H4" s="19"/>
      <c r="I4" s="261" t="s">
        <v>868</v>
      </c>
      <c r="J4" s="261"/>
      <c r="K4" s="261"/>
      <c r="L4" s="261"/>
    </row>
    <row r="5" spans="1:29" s="94" customFormat="1" ht="27" customHeight="1">
      <c r="A5" s="147"/>
      <c r="C5" s="147"/>
      <c r="E5" s="147"/>
      <c r="F5" s="147"/>
      <c r="G5" s="214"/>
      <c r="H5" s="214"/>
      <c r="J5" s="147"/>
      <c r="K5" s="147"/>
      <c r="L5" s="147" t="s">
        <v>865</v>
      </c>
    </row>
    <row r="6" spans="1:29" s="94" customFormat="1" ht="13.5" customHeight="1">
      <c r="A6" s="147"/>
      <c r="C6" s="147"/>
      <c r="E6" s="147"/>
      <c r="F6" s="239"/>
      <c r="G6" s="19"/>
      <c r="H6" s="19"/>
      <c r="I6" s="260" t="s">
        <v>601</v>
      </c>
      <c r="J6" s="260"/>
      <c r="K6" s="260"/>
      <c r="L6" s="260"/>
    </row>
    <row r="7" spans="1:29" s="94" customFormat="1" ht="13.5" customHeight="1">
      <c r="A7" s="147"/>
      <c r="C7" s="147"/>
      <c r="E7" s="147"/>
      <c r="F7" s="147"/>
      <c r="G7" s="19"/>
      <c r="H7" s="19"/>
      <c r="I7" s="260" t="s">
        <v>864</v>
      </c>
      <c r="J7" s="260"/>
      <c r="K7" s="260"/>
      <c r="L7" s="260"/>
    </row>
    <row r="8" spans="1:29" s="94" customFormat="1" ht="13.5" customHeight="1">
      <c r="A8" s="147"/>
      <c r="C8" s="147"/>
      <c r="E8" s="147"/>
      <c r="F8" s="147"/>
      <c r="G8" s="19"/>
      <c r="H8" s="19"/>
      <c r="I8" s="260" t="s">
        <v>863</v>
      </c>
      <c r="J8" s="260"/>
      <c r="K8" s="260"/>
      <c r="L8" s="260"/>
    </row>
    <row r="9" spans="1:29" s="20" customFormat="1" ht="13.5">
      <c r="A9" s="18"/>
      <c r="B9" s="19"/>
      <c r="C9" s="18"/>
      <c r="E9" s="18"/>
      <c r="F9" s="18"/>
    </row>
    <row r="10" spans="1:29" s="2" customFormat="1">
      <c r="A10" s="264" t="s">
        <v>191</v>
      </c>
      <c r="B10" s="264"/>
      <c r="C10" s="264"/>
      <c r="D10" s="264"/>
      <c r="E10" s="264"/>
      <c r="F10" s="264"/>
      <c r="G10" s="264"/>
      <c r="H10" s="264"/>
      <c r="I10" s="264"/>
      <c r="J10" s="263"/>
      <c r="K10" s="263"/>
      <c r="L10" s="263"/>
    </row>
    <row r="11" spans="1:29" s="2" customFormat="1" ht="31.5" customHeight="1">
      <c r="A11" s="262" t="s">
        <v>17</v>
      </c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2"/>
    </row>
    <row r="12" spans="1:29" s="2" customFormat="1" ht="16.5">
      <c r="A12" s="4"/>
      <c r="B12" s="4"/>
      <c r="C12" s="4"/>
      <c r="D12" s="4"/>
      <c r="E12" s="4"/>
      <c r="F12" s="4"/>
      <c r="G12" s="224" t="s">
        <v>18</v>
      </c>
    </row>
    <row r="13" spans="1:29" s="23" customFormat="1">
      <c r="A13" s="268"/>
      <c r="B13" s="270"/>
      <c r="C13" s="271"/>
      <c r="D13" s="271"/>
      <c r="E13" s="272"/>
      <c r="F13" s="212" t="s">
        <v>366</v>
      </c>
      <c r="G13" s="265" t="s">
        <v>367</v>
      </c>
      <c r="H13" s="267"/>
      <c r="I13" s="265" t="s">
        <v>368</v>
      </c>
      <c r="J13" s="266"/>
      <c r="K13" s="266"/>
      <c r="L13" s="267"/>
    </row>
    <row r="14" spans="1:29" s="24" customFormat="1" ht="27.75" thickBot="1">
      <c r="A14" s="269"/>
      <c r="B14" s="270"/>
      <c r="C14" s="271"/>
      <c r="D14" s="271"/>
      <c r="E14" s="272"/>
      <c r="F14" s="16" t="s">
        <v>603</v>
      </c>
      <c r="G14" s="17" t="s">
        <v>150</v>
      </c>
      <c r="H14" s="17" t="s">
        <v>151</v>
      </c>
      <c r="I14" s="211" t="s">
        <v>187</v>
      </c>
      <c r="J14" s="212" t="s">
        <v>188</v>
      </c>
      <c r="K14" s="212" t="s">
        <v>189</v>
      </c>
      <c r="L14" s="212" t="s">
        <v>190</v>
      </c>
    </row>
    <row r="15" spans="1:29" s="28" customFormat="1" ht="18" thickBot="1">
      <c r="A15" s="25">
        <v>1</v>
      </c>
      <c r="B15" s="26">
        <v>2</v>
      </c>
      <c r="C15" s="26">
        <v>3</v>
      </c>
      <c r="D15" s="26">
        <v>4</v>
      </c>
      <c r="E15" s="26">
        <v>5</v>
      </c>
      <c r="F15" s="16">
        <v>6</v>
      </c>
      <c r="G15" s="16">
        <v>7</v>
      </c>
      <c r="H15" s="16">
        <v>8</v>
      </c>
      <c r="I15" s="16">
        <v>9</v>
      </c>
      <c r="J15" s="16">
        <v>10</v>
      </c>
      <c r="K15" s="16">
        <v>11</v>
      </c>
      <c r="L15" s="27">
        <v>12</v>
      </c>
    </row>
    <row r="16" spans="1:29" s="32" customFormat="1" ht="83.25" thickBot="1">
      <c r="A16" s="29">
        <v>2000</v>
      </c>
      <c r="B16" s="11" t="s">
        <v>1</v>
      </c>
      <c r="C16" s="30" t="s">
        <v>0</v>
      </c>
      <c r="D16" s="30" t="s">
        <v>0</v>
      </c>
      <c r="E16" s="5" t="s">
        <v>192</v>
      </c>
      <c r="F16" s="31">
        <f>+F17+F52+F69+F95+F148+F168+F188+F217+F247+F278</f>
        <v>9193112.1372999977</v>
      </c>
      <c r="G16" s="31">
        <f>+G17+G52+G69+G95+G148+G168+G188+G217+G247+G278+G310</f>
        <v>6767596.0294999992</v>
      </c>
      <c r="H16" s="31">
        <f>+H17+H52+H69+H95+H148+H168+H188+H217+H247+H278</f>
        <v>3351499.107799999</v>
      </c>
      <c r="I16" s="31">
        <f>+I17+I52+I69+I95+I148+I168+I188+I217+I247+I278</f>
        <v>4280618.3073637141</v>
      </c>
      <c r="J16" s="31">
        <f>+J17+J52+J69+J95+J148+J168+J188+J217+J247+J278</f>
        <v>5968284.8972434709</v>
      </c>
      <c r="K16" s="31">
        <f>+K17+K52+K69+K95+K148+K168+K188+K217+K247+K278</f>
        <v>7657317.9902754091</v>
      </c>
      <c r="L16" s="31">
        <f>+L17+L52+L69+L95+L148+L168+L188+L217+L247+L278</f>
        <v>9193112.1372999977</v>
      </c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</row>
    <row r="17" spans="1:19" s="36" customFormat="1" ht="66">
      <c r="A17" s="33">
        <v>2100</v>
      </c>
      <c r="B17" s="34" t="s">
        <v>2</v>
      </c>
      <c r="C17" s="34" t="s">
        <v>3</v>
      </c>
      <c r="D17" s="34" t="s">
        <v>3</v>
      </c>
      <c r="E17" s="5" t="s">
        <v>193</v>
      </c>
      <c r="F17" s="31">
        <f>+F19+F24+F28+F33+F36+F39+F42+F45</f>
        <v>1225290.3295</v>
      </c>
      <c r="G17" s="31">
        <f t="shared" ref="G17:L17" si="0">+G19+G24+G28+G33+G36+G39+G42+G45</f>
        <v>1157861.1295</v>
      </c>
      <c r="H17" s="31">
        <f t="shared" si="0"/>
        <v>67429.200000000012</v>
      </c>
      <c r="I17" s="31">
        <f t="shared" si="0"/>
        <v>393895.36776021309</v>
      </c>
      <c r="J17" s="31">
        <f t="shared" si="0"/>
        <v>789308.7870381145</v>
      </c>
      <c r="K17" s="31">
        <f t="shared" si="0"/>
        <v>1019905.642414286</v>
      </c>
      <c r="L17" s="31">
        <f t="shared" si="0"/>
        <v>1225290.3295</v>
      </c>
      <c r="M17" s="35"/>
      <c r="N17" s="35"/>
      <c r="O17" s="35"/>
      <c r="P17" s="35"/>
      <c r="Q17" s="35"/>
      <c r="R17" s="35"/>
      <c r="S17" s="35"/>
    </row>
    <row r="18" spans="1:19">
      <c r="A18" s="33"/>
      <c r="B18" s="34"/>
      <c r="C18" s="34"/>
      <c r="D18" s="34"/>
      <c r="E18" s="6" t="s">
        <v>154</v>
      </c>
      <c r="F18" s="31"/>
      <c r="G18" s="31"/>
      <c r="H18" s="31"/>
      <c r="I18" s="31"/>
      <c r="J18" s="31"/>
      <c r="K18" s="31"/>
      <c r="L18" s="31"/>
    </row>
    <row r="19" spans="1:19" s="39" customFormat="1" ht="54">
      <c r="A19" s="38">
        <v>2110</v>
      </c>
      <c r="B19" s="34" t="s">
        <v>2</v>
      </c>
      <c r="C19" s="34" t="s">
        <v>4</v>
      </c>
      <c r="D19" s="34" t="s">
        <v>3</v>
      </c>
      <c r="E19" s="6" t="s">
        <v>155</v>
      </c>
      <c r="F19" s="31">
        <f>+'4.Gorcarakan ev tntesagitakan'!H18</f>
        <v>1015494.3295000001</v>
      </c>
      <c r="G19" s="31">
        <f>+'4.Gorcarakan ev tntesagitakan'!I18</f>
        <v>963565.12950000004</v>
      </c>
      <c r="H19" s="31">
        <f>+'4.Gorcarakan ev tntesagitakan'!J18</f>
        <v>51929.200000000004</v>
      </c>
      <c r="I19" s="31">
        <f>+'4.Gorcarakan ev tntesagitakan'!K18</f>
        <v>340076.54871259403</v>
      </c>
      <c r="J19" s="31">
        <f>+'4.Gorcarakan ev tntesagitakan'!L18</f>
        <v>681075.02195874939</v>
      </c>
      <c r="K19" s="31">
        <f>+'4.Gorcarakan ev tntesagitakan'!M18</f>
        <v>826526.89638253988</v>
      </c>
      <c r="L19" s="31">
        <f>+'4.Gorcarakan ev tntesagitakan'!N18</f>
        <v>1015494.3295000001</v>
      </c>
    </row>
    <row r="20" spans="1:19" s="39" customFormat="1">
      <c r="A20" s="38"/>
      <c r="B20" s="34"/>
      <c r="C20" s="34"/>
      <c r="D20" s="34"/>
      <c r="E20" s="6" t="s">
        <v>156</v>
      </c>
      <c r="F20" s="31"/>
      <c r="G20" s="31"/>
      <c r="H20" s="31"/>
      <c r="I20" s="31"/>
      <c r="J20" s="31"/>
      <c r="K20" s="31"/>
      <c r="L20" s="31"/>
    </row>
    <row r="21" spans="1:19" ht="27">
      <c r="A21" s="38">
        <v>2111</v>
      </c>
      <c r="B21" s="34" t="s">
        <v>2</v>
      </c>
      <c r="C21" s="34" t="s">
        <v>4</v>
      </c>
      <c r="D21" s="34" t="s">
        <v>4</v>
      </c>
      <c r="E21" s="6" t="s">
        <v>157</v>
      </c>
      <c r="F21" s="31">
        <f>+'4.Gorcarakan ev tntesagitakan'!H20</f>
        <v>1015494.3295000001</v>
      </c>
      <c r="G21" s="31">
        <f>+'4.Gorcarakan ev tntesagitakan'!I20</f>
        <v>963565.12950000004</v>
      </c>
      <c r="H21" s="31">
        <f>+'4.Gorcarakan ev tntesagitakan'!J20</f>
        <v>51929.200000000004</v>
      </c>
      <c r="I21" s="31">
        <f>+'4.Gorcarakan ev tntesagitakan'!K20</f>
        <v>340076.54871259403</v>
      </c>
      <c r="J21" s="31">
        <f>+'4.Gorcarakan ev tntesagitakan'!L20</f>
        <v>681075.02195874939</v>
      </c>
      <c r="K21" s="31">
        <f>+'4.Gorcarakan ev tntesagitakan'!M20</f>
        <v>826526.89638253988</v>
      </c>
      <c r="L21" s="31">
        <f>+'4.Gorcarakan ev tntesagitakan'!N20</f>
        <v>1015494.3295000001</v>
      </c>
    </row>
    <row r="22" spans="1:19" ht="27">
      <c r="A22" s="38">
        <v>2112</v>
      </c>
      <c r="B22" s="34" t="s">
        <v>2</v>
      </c>
      <c r="C22" s="34" t="s">
        <v>4</v>
      </c>
      <c r="D22" s="34" t="s">
        <v>5</v>
      </c>
      <c r="E22" s="6" t="s">
        <v>176</v>
      </c>
      <c r="F22" s="31">
        <f>SUM(G22:H22)</f>
        <v>0</v>
      </c>
      <c r="G22" s="31"/>
      <c r="H22" s="31"/>
      <c r="I22" s="31">
        <v>0</v>
      </c>
      <c r="J22" s="31">
        <v>0</v>
      </c>
      <c r="K22" s="31">
        <v>0</v>
      </c>
      <c r="L22" s="31">
        <v>0</v>
      </c>
    </row>
    <row r="23" spans="1:19">
      <c r="A23" s="38">
        <v>2113</v>
      </c>
      <c r="B23" s="34" t="s">
        <v>2</v>
      </c>
      <c r="C23" s="34" t="s">
        <v>4</v>
      </c>
      <c r="D23" s="34" t="s">
        <v>6</v>
      </c>
      <c r="E23" s="6" t="s">
        <v>183</v>
      </c>
      <c r="F23" s="31">
        <f>SUM(G23:H23)</f>
        <v>0</v>
      </c>
      <c r="G23" s="31"/>
      <c r="H23" s="31"/>
      <c r="I23" s="31">
        <v>0</v>
      </c>
      <c r="J23" s="31">
        <v>0</v>
      </c>
      <c r="K23" s="31">
        <v>0</v>
      </c>
      <c r="L23" s="31">
        <v>0</v>
      </c>
    </row>
    <row r="24" spans="1:19">
      <c r="A24" s="38">
        <v>2120</v>
      </c>
      <c r="B24" s="34" t="s">
        <v>2</v>
      </c>
      <c r="C24" s="34" t="s">
        <v>5</v>
      </c>
      <c r="D24" s="34" t="s">
        <v>3</v>
      </c>
      <c r="E24" s="6" t="s">
        <v>184</v>
      </c>
      <c r="F24" s="31">
        <f>SUM(F26:F27)</f>
        <v>0</v>
      </c>
      <c r="G24" s="31">
        <f>SUM(G26:G27)</f>
        <v>0</v>
      </c>
      <c r="H24" s="31">
        <f>SUM(H26:H27)</f>
        <v>0</v>
      </c>
      <c r="I24" s="31">
        <v>0</v>
      </c>
      <c r="J24" s="31">
        <v>0</v>
      </c>
      <c r="K24" s="31">
        <v>0</v>
      </c>
      <c r="L24" s="31">
        <v>0</v>
      </c>
    </row>
    <row r="25" spans="1:19" s="39" customFormat="1">
      <c r="A25" s="38"/>
      <c r="B25" s="34"/>
      <c r="C25" s="34"/>
      <c r="D25" s="34"/>
      <c r="E25" s="6" t="s">
        <v>156</v>
      </c>
      <c r="F25" s="31"/>
      <c r="G25" s="31"/>
      <c r="H25" s="31"/>
      <c r="I25" s="31"/>
      <c r="J25" s="31"/>
      <c r="K25" s="31"/>
      <c r="L25" s="31"/>
    </row>
    <row r="26" spans="1:19">
      <c r="A26" s="38">
        <v>2121</v>
      </c>
      <c r="B26" s="34" t="s">
        <v>2</v>
      </c>
      <c r="C26" s="34" t="s">
        <v>5</v>
      </c>
      <c r="D26" s="34" t="s">
        <v>4</v>
      </c>
      <c r="E26" s="6" t="s">
        <v>179</v>
      </c>
      <c r="F26" s="31">
        <f>SUM(G26:H26)</f>
        <v>0</v>
      </c>
      <c r="G26" s="31"/>
      <c r="H26" s="31"/>
      <c r="I26" s="31">
        <v>0</v>
      </c>
      <c r="J26" s="31">
        <v>0</v>
      </c>
      <c r="K26" s="31">
        <v>0</v>
      </c>
      <c r="L26" s="31">
        <v>0</v>
      </c>
    </row>
    <row r="27" spans="1:19" ht="27">
      <c r="A27" s="38">
        <v>2122</v>
      </c>
      <c r="B27" s="34" t="s">
        <v>2</v>
      </c>
      <c r="C27" s="34" t="s">
        <v>5</v>
      </c>
      <c r="D27" s="34" t="s">
        <v>5</v>
      </c>
      <c r="E27" s="6" t="s">
        <v>180</v>
      </c>
      <c r="F27" s="31">
        <f>SUM(G27:H27)</f>
        <v>0</v>
      </c>
      <c r="G27" s="31"/>
      <c r="H27" s="31"/>
      <c r="I27" s="31">
        <v>0</v>
      </c>
      <c r="J27" s="31">
        <v>0</v>
      </c>
      <c r="K27" s="31">
        <v>0</v>
      </c>
      <c r="L27" s="31">
        <v>0</v>
      </c>
    </row>
    <row r="28" spans="1:19">
      <c r="A28" s="38">
        <v>2130</v>
      </c>
      <c r="B28" s="34" t="s">
        <v>2</v>
      </c>
      <c r="C28" s="34" t="s">
        <v>6</v>
      </c>
      <c r="D28" s="34" t="s">
        <v>3</v>
      </c>
      <c r="E28" s="6" t="s">
        <v>194</v>
      </c>
      <c r="F28" s="31">
        <f>+'4.Gorcarakan ev tntesagitakan'!H68</f>
        <v>0</v>
      </c>
      <c r="G28" s="31">
        <f>+'4.Gorcarakan ev tntesagitakan'!I68</f>
        <v>0</v>
      </c>
      <c r="H28" s="31"/>
      <c r="I28" s="31">
        <f>+'4.Gorcarakan ev tntesagitakan'!K66</f>
        <v>0</v>
      </c>
      <c r="J28" s="31">
        <f>+'4.Gorcarakan ev tntesagitakan'!L66</f>
        <v>0</v>
      </c>
      <c r="K28" s="31">
        <f>+'4.Gorcarakan ev tntesagitakan'!M66</f>
        <v>0</v>
      </c>
      <c r="L28" s="31">
        <f>+'4.Gorcarakan ev tntesagitakan'!N66</f>
        <v>0</v>
      </c>
    </row>
    <row r="29" spans="1:19" s="39" customFormat="1">
      <c r="A29" s="38"/>
      <c r="B29" s="34"/>
      <c r="C29" s="34"/>
      <c r="D29" s="34"/>
      <c r="E29" s="6" t="s">
        <v>156</v>
      </c>
      <c r="F29" s="31"/>
      <c r="G29" s="31"/>
      <c r="H29" s="31"/>
      <c r="I29" s="31"/>
      <c r="J29" s="31"/>
      <c r="K29" s="31"/>
      <c r="L29" s="31"/>
    </row>
    <row r="30" spans="1:19" ht="27">
      <c r="A30" s="38">
        <v>2131</v>
      </c>
      <c r="B30" s="34" t="s">
        <v>2</v>
      </c>
      <c r="C30" s="34" t="s">
        <v>6</v>
      </c>
      <c r="D30" s="34" t="s">
        <v>4</v>
      </c>
      <c r="E30" s="6" t="s">
        <v>195</v>
      </c>
      <c r="F30" s="31">
        <f>SUM(G30:H30)</f>
        <v>0</v>
      </c>
      <c r="G30" s="31"/>
      <c r="H30" s="31"/>
      <c r="I30" s="31">
        <v>0</v>
      </c>
      <c r="J30" s="31">
        <v>0</v>
      </c>
      <c r="K30" s="31">
        <v>0</v>
      </c>
      <c r="L30" s="31">
        <v>0</v>
      </c>
    </row>
    <row r="31" spans="1:19" ht="27">
      <c r="A31" s="38">
        <v>2132</v>
      </c>
      <c r="B31" s="34" t="s">
        <v>2</v>
      </c>
      <c r="C31" s="34">
        <v>3</v>
      </c>
      <c r="D31" s="34">
        <v>2</v>
      </c>
      <c r="E31" s="6" t="s">
        <v>196</v>
      </c>
      <c r="F31" s="31">
        <f>SUM(G31:H31)</f>
        <v>0</v>
      </c>
      <c r="G31" s="31"/>
      <c r="H31" s="31"/>
      <c r="I31" s="31">
        <v>0</v>
      </c>
      <c r="J31" s="31">
        <v>0</v>
      </c>
      <c r="K31" s="31">
        <v>0</v>
      </c>
      <c r="L31" s="31">
        <v>0</v>
      </c>
    </row>
    <row r="32" spans="1:19">
      <c r="A32" s="38">
        <v>2133</v>
      </c>
      <c r="B32" s="34" t="s">
        <v>2</v>
      </c>
      <c r="C32" s="34">
        <v>3</v>
      </c>
      <c r="D32" s="34">
        <v>3</v>
      </c>
      <c r="E32" s="6" t="s">
        <v>197</v>
      </c>
      <c r="F32" s="31">
        <f>+'4.Gorcarakan ev tntesagitakan'!H78</f>
        <v>0</v>
      </c>
      <c r="G32" s="31">
        <f>+'4.Gorcarakan ev tntesagitakan'!I78</f>
        <v>0</v>
      </c>
      <c r="H32" s="31"/>
      <c r="I32" s="31">
        <f>+'4.Gorcarakan ev tntesagitakan'!K78</f>
        <v>0</v>
      </c>
      <c r="J32" s="31">
        <f>+'4.Gorcarakan ev tntesagitakan'!L78</f>
        <v>0</v>
      </c>
      <c r="K32" s="31">
        <f>+'4.Gorcarakan ev tntesagitakan'!M78</f>
        <v>0</v>
      </c>
      <c r="L32" s="31">
        <f>+'4.Gorcarakan ev tntesagitakan'!N78</f>
        <v>0</v>
      </c>
    </row>
    <row r="33" spans="1:12">
      <c r="A33" s="38">
        <v>2140</v>
      </c>
      <c r="B33" s="34" t="s">
        <v>2</v>
      </c>
      <c r="C33" s="34">
        <v>4</v>
      </c>
      <c r="D33" s="34">
        <v>0</v>
      </c>
      <c r="E33" s="6" t="s">
        <v>198</v>
      </c>
      <c r="F33" s="31">
        <f>SUM(F35)</f>
        <v>0</v>
      </c>
      <c r="G33" s="31">
        <f>SUM(G35)</f>
        <v>0</v>
      </c>
      <c r="H33" s="31"/>
      <c r="I33" s="31">
        <v>0</v>
      </c>
      <c r="J33" s="31">
        <v>0</v>
      </c>
      <c r="K33" s="31">
        <v>0</v>
      </c>
      <c r="L33" s="31">
        <v>0</v>
      </c>
    </row>
    <row r="34" spans="1:12" s="39" customFormat="1">
      <c r="A34" s="38"/>
      <c r="B34" s="34"/>
      <c r="C34" s="34"/>
      <c r="D34" s="34"/>
      <c r="E34" s="6" t="s">
        <v>156</v>
      </c>
      <c r="F34" s="31"/>
      <c r="G34" s="31"/>
      <c r="H34" s="31"/>
      <c r="I34" s="31"/>
      <c r="J34" s="31"/>
      <c r="K34" s="31"/>
      <c r="L34" s="31"/>
    </row>
    <row r="35" spans="1:12">
      <c r="A35" s="38">
        <v>2141</v>
      </c>
      <c r="B35" s="34" t="s">
        <v>2</v>
      </c>
      <c r="C35" s="34">
        <v>4</v>
      </c>
      <c r="D35" s="34">
        <v>1</v>
      </c>
      <c r="E35" s="6" t="s">
        <v>199</v>
      </c>
      <c r="F35" s="31">
        <f>SUM(G35:H35)</f>
        <v>0</v>
      </c>
      <c r="G35" s="31"/>
      <c r="H35" s="31"/>
      <c r="I35" s="31">
        <v>0</v>
      </c>
      <c r="J35" s="31">
        <v>0</v>
      </c>
      <c r="K35" s="31">
        <v>0</v>
      </c>
      <c r="L35" s="31">
        <v>0</v>
      </c>
    </row>
    <row r="36" spans="1:12" ht="40.5">
      <c r="A36" s="38">
        <v>2150</v>
      </c>
      <c r="B36" s="34" t="s">
        <v>2</v>
      </c>
      <c r="C36" s="34">
        <v>5</v>
      </c>
      <c r="D36" s="34">
        <v>0</v>
      </c>
      <c r="E36" s="6" t="s">
        <v>200</v>
      </c>
      <c r="F36" s="31">
        <f>+'4.Gorcarakan ev tntesagitakan'!H94</f>
        <v>23500</v>
      </c>
      <c r="G36" s="31">
        <f>+'4.Gorcarakan ev tntesagitakan'!I94</f>
        <v>8000</v>
      </c>
      <c r="H36" s="31">
        <f>+'4.Gorcarakan ev tntesagitakan'!J94</f>
        <v>15500</v>
      </c>
      <c r="I36" s="31">
        <f>+'4.Gorcarakan ev tntesagitakan'!K94</f>
        <v>5595.2380952380954</v>
      </c>
      <c r="J36" s="31">
        <f>+'4.Gorcarakan ev tntesagitakan'!L94</f>
        <v>11283.730158730159</v>
      </c>
      <c r="K36" s="31">
        <f>+'4.Gorcarakan ev tntesagitakan'!M94</f>
        <v>17438.492063492064</v>
      </c>
      <c r="L36" s="31">
        <f>+'4.Gorcarakan ev tntesagitakan'!N94</f>
        <v>23500</v>
      </c>
    </row>
    <row r="37" spans="1:12" s="39" customFormat="1">
      <c r="A37" s="38"/>
      <c r="B37" s="34"/>
      <c r="C37" s="34"/>
      <c r="D37" s="34"/>
      <c r="E37" s="6" t="s">
        <v>156</v>
      </c>
      <c r="F37" s="31"/>
      <c r="G37" s="31"/>
      <c r="H37" s="31"/>
      <c r="I37" s="31">
        <v>0</v>
      </c>
      <c r="J37" s="31">
        <v>0</v>
      </c>
      <c r="K37" s="31">
        <v>0</v>
      </c>
      <c r="L37" s="31">
        <v>0</v>
      </c>
    </row>
    <row r="38" spans="1:12" ht="40.5">
      <c r="A38" s="38">
        <v>2151</v>
      </c>
      <c r="B38" s="34" t="s">
        <v>2</v>
      </c>
      <c r="C38" s="34">
        <v>5</v>
      </c>
      <c r="D38" s="34">
        <v>1</v>
      </c>
      <c r="E38" s="6" t="s">
        <v>201</v>
      </c>
      <c r="F38" s="31">
        <f>+'4.Gorcarakan ev tntesagitakan'!H96</f>
        <v>23500</v>
      </c>
      <c r="G38" s="31">
        <f>+'4.Gorcarakan ev tntesagitakan'!I96</f>
        <v>8000</v>
      </c>
      <c r="H38" s="31">
        <f>+'4.Gorcarakan ev tntesagitakan'!J96</f>
        <v>15500</v>
      </c>
      <c r="I38" s="31">
        <f>+'4.Gorcarakan ev tntesagitakan'!K96</f>
        <v>5595.2380952380954</v>
      </c>
      <c r="J38" s="31">
        <f>+'4.Gorcarakan ev tntesagitakan'!L96</f>
        <v>11283.730158730159</v>
      </c>
      <c r="K38" s="31">
        <f>+'4.Gorcarakan ev tntesagitakan'!M96</f>
        <v>17438.492063492064</v>
      </c>
      <c r="L38" s="31">
        <f>+'4.Gorcarakan ev tntesagitakan'!N96</f>
        <v>23500</v>
      </c>
    </row>
    <row r="39" spans="1:12" ht="27">
      <c r="A39" s="38">
        <v>2160</v>
      </c>
      <c r="B39" s="34" t="s">
        <v>2</v>
      </c>
      <c r="C39" s="34">
        <v>6</v>
      </c>
      <c r="D39" s="34">
        <v>0</v>
      </c>
      <c r="E39" s="6" t="s">
        <v>202</v>
      </c>
      <c r="F39" s="31">
        <f>+'4.Gorcarakan ev tntesagitakan'!H101</f>
        <v>186296</v>
      </c>
      <c r="G39" s="31">
        <f>+'4.Gorcarakan ev tntesagitakan'!I101</f>
        <v>186296</v>
      </c>
      <c r="H39" s="31"/>
      <c r="I39" s="31">
        <f>+'4.Gorcarakan ev tntesagitakan'!K101</f>
        <v>48223.580952380951</v>
      </c>
      <c r="J39" s="31">
        <f>+'4.Gorcarakan ev tntesagitakan'!L101</f>
        <v>96950.03492063492</v>
      </c>
      <c r="K39" s="31">
        <f>+'4.Gorcarakan ev tntesagitakan'!M101</f>
        <v>175940.25396825402</v>
      </c>
      <c r="L39" s="31">
        <f>+'4.Gorcarakan ev tntesagitakan'!N101</f>
        <v>186296</v>
      </c>
    </row>
    <row r="40" spans="1:12" s="39" customFormat="1">
      <c r="A40" s="38"/>
      <c r="B40" s="34"/>
      <c r="C40" s="34"/>
      <c r="D40" s="34"/>
      <c r="E40" s="6" t="s">
        <v>156</v>
      </c>
      <c r="F40" s="31"/>
      <c r="G40" s="31"/>
      <c r="H40" s="31"/>
      <c r="I40" s="31"/>
      <c r="J40" s="31"/>
      <c r="K40" s="31"/>
      <c r="L40" s="31"/>
    </row>
    <row r="41" spans="1:12" ht="27">
      <c r="A41" s="38">
        <v>2161</v>
      </c>
      <c r="B41" s="34" t="s">
        <v>2</v>
      </c>
      <c r="C41" s="34">
        <v>6</v>
      </c>
      <c r="D41" s="34">
        <v>1</v>
      </c>
      <c r="E41" s="6" t="s">
        <v>203</v>
      </c>
      <c r="F41" s="31">
        <f>+'4.Gorcarakan ev tntesagitakan'!H103</f>
        <v>186296</v>
      </c>
      <c r="G41" s="31">
        <f>+'4.Gorcarakan ev tntesagitakan'!I103</f>
        <v>186296</v>
      </c>
      <c r="H41" s="31"/>
      <c r="I41" s="31">
        <f>+'4.Gorcarakan ev tntesagitakan'!K103</f>
        <v>48223.580952380951</v>
      </c>
      <c r="J41" s="31">
        <f>+'4.Gorcarakan ev tntesagitakan'!L103</f>
        <v>96950.03492063492</v>
      </c>
      <c r="K41" s="31">
        <f>+'4.Gorcarakan ev tntesagitakan'!M103</f>
        <v>175940.25396825402</v>
      </c>
      <c r="L41" s="31">
        <v>10500</v>
      </c>
    </row>
    <row r="42" spans="1:12">
      <c r="A42" s="38">
        <v>2170</v>
      </c>
      <c r="B42" s="34" t="s">
        <v>2</v>
      </c>
      <c r="C42" s="34">
        <v>7</v>
      </c>
      <c r="D42" s="34">
        <v>0</v>
      </c>
      <c r="E42" s="6" t="s">
        <v>204</v>
      </c>
      <c r="F42" s="31">
        <f>SUM(F44)</f>
        <v>0</v>
      </c>
      <c r="G42" s="31">
        <f>SUM(G44)</f>
        <v>0</v>
      </c>
      <c r="H42" s="31">
        <f>SUM(H44)</f>
        <v>0</v>
      </c>
      <c r="I42" s="31">
        <v>0</v>
      </c>
      <c r="J42" s="31">
        <v>0</v>
      </c>
      <c r="K42" s="31">
        <v>0</v>
      </c>
      <c r="L42" s="31">
        <v>0</v>
      </c>
    </row>
    <row r="43" spans="1:12" s="39" customFormat="1">
      <c r="A43" s="38"/>
      <c r="B43" s="34"/>
      <c r="C43" s="34"/>
      <c r="D43" s="34"/>
      <c r="E43" s="6" t="s">
        <v>156</v>
      </c>
      <c r="F43" s="31"/>
      <c r="G43" s="31"/>
      <c r="H43" s="31"/>
      <c r="I43" s="31"/>
      <c r="J43" s="31"/>
      <c r="K43" s="31"/>
      <c r="L43" s="31"/>
    </row>
    <row r="44" spans="1:12">
      <c r="A44" s="38">
        <v>2171</v>
      </c>
      <c r="B44" s="34" t="s">
        <v>2</v>
      </c>
      <c r="C44" s="34">
        <v>7</v>
      </c>
      <c r="D44" s="34">
        <v>1</v>
      </c>
      <c r="E44" s="6" t="s">
        <v>204</v>
      </c>
      <c r="F44" s="31">
        <f>SUM(G44:H44)</f>
        <v>0</v>
      </c>
      <c r="G44" s="31"/>
      <c r="H44" s="31"/>
      <c r="I44" s="31">
        <v>0</v>
      </c>
      <c r="J44" s="31">
        <v>0</v>
      </c>
      <c r="K44" s="31">
        <v>0</v>
      </c>
      <c r="L44" s="31">
        <v>0</v>
      </c>
    </row>
    <row r="45" spans="1:12" ht="40.5">
      <c r="A45" s="38">
        <v>2180</v>
      </c>
      <c r="B45" s="34" t="s">
        <v>2</v>
      </c>
      <c r="C45" s="34">
        <v>8</v>
      </c>
      <c r="D45" s="34">
        <v>0</v>
      </c>
      <c r="E45" s="6" t="s">
        <v>205</v>
      </c>
      <c r="F45" s="31">
        <f>SUM(F47)</f>
        <v>0</v>
      </c>
      <c r="G45" s="31">
        <f>SUM(G47)</f>
        <v>0</v>
      </c>
      <c r="H45" s="31">
        <f>SUM(H47)</f>
        <v>0</v>
      </c>
      <c r="I45" s="31">
        <v>0</v>
      </c>
      <c r="J45" s="31">
        <v>0</v>
      </c>
      <c r="K45" s="31">
        <v>0</v>
      </c>
      <c r="L45" s="31">
        <v>0</v>
      </c>
    </row>
    <row r="46" spans="1:12" s="39" customFormat="1">
      <c r="A46" s="38"/>
      <c r="B46" s="34"/>
      <c r="C46" s="34"/>
      <c r="D46" s="34"/>
      <c r="E46" s="6" t="s">
        <v>156</v>
      </c>
      <c r="F46" s="31"/>
      <c r="G46" s="31"/>
      <c r="H46" s="31"/>
      <c r="I46" s="31"/>
      <c r="J46" s="31"/>
      <c r="K46" s="31"/>
      <c r="L46" s="31"/>
    </row>
    <row r="47" spans="1:12" ht="40.5">
      <c r="A47" s="38">
        <v>2181</v>
      </c>
      <c r="B47" s="34" t="s">
        <v>2</v>
      </c>
      <c r="C47" s="34">
        <v>8</v>
      </c>
      <c r="D47" s="34">
        <v>1</v>
      </c>
      <c r="E47" s="6" t="s">
        <v>205</v>
      </c>
      <c r="F47" s="31">
        <f>SUM(F49:F50)</f>
        <v>0</v>
      </c>
      <c r="G47" s="31">
        <f>SUM(G49:G50)</f>
        <v>0</v>
      </c>
      <c r="H47" s="31">
        <f>SUM(H49:H50)</f>
        <v>0</v>
      </c>
      <c r="I47" s="31">
        <v>0</v>
      </c>
      <c r="J47" s="31">
        <v>0</v>
      </c>
      <c r="K47" s="31">
        <v>0</v>
      </c>
      <c r="L47" s="31">
        <v>0</v>
      </c>
    </row>
    <row r="48" spans="1:12">
      <c r="A48" s="38"/>
      <c r="B48" s="34"/>
      <c r="C48" s="34"/>
      <c r="D48" s="34"/>
      <c r="E48" s="6" t="s">
        <v>156</v>
      </c>
      <c r="F48" s="31"/>
      <c r="G48" s="31"/>
      <c r="H48" s="31"/>
      <c r="I48" s="31"/>
      <c r="J48" s="31"/>
      <c r="K48" s="31"/>
      <c r="L48" s="31"/>
    </row>
    <row r="49" spans="1:12">
      <c r="A49" s="38">
        <v>2182</v>
      </c>
      <c r="B49" s="34" t="s">
        <v>2</v>
      </c>
      <c r="C49" s="34">
        <v>8</v>
      </c>
      <c r="D49" s="34">
        <v>1</v>
      </c>
      <c r="E49" s="6" t="s">
        <v>206</v>
      </c>
      <c r="F49" s="31">
        <f>SUM(G49:H49)</f>
        <v>0</v>
      </c>
      <c r="G49" s="31"/>
      <c r="H49" s="31"/>
      <c r="I49" s="31">
        <v>0</v>
      </c>
      <c r="J49" s="31">
        <v>0</v>
      </c>
      <c r="K49" s="31">
        <v>0</v>
      </c>
      <c r="L49" s="31">
        <v>0</v>
      </c>
    </row>
    <row r="50" spans="1:12" ht="27">
      <c r="A50" s="38">
        <v>2183</v>
      </c>
      <c r="B50" s="34" t="s">
        <v>2</v>
      </c>
      <c r="C50" s="34">
        <v>8</v>
      </c>
      <c r="D50" s="34">
        <v>1</v>
      </c>
      <c r="E50" s="6" t="s">
        <v>207</v>
      </c>
      <c r="F50" s="31">
        <f>SUM(G50:H50)</f>
        <v>0</v>
      </c>
      <c r="G50" s="31"/>
      <c r="H50" s="31"/>
      <c r="I50" s="31">
        <v>0</v>
      </c>
      <c r="J50" s="31">
        <v>0</v>
      </c>
      <c r="K50" s="31">
        <v>0</v>
      </c>
      <c r="L50" s="31">
        <v>0</v>
      </c>
    </row>
    <row r="51" spans="1:12">
      <c r="A51" s="38">
        <v>2185</v>
      </c>
      <c r="B51" s="34" t="s">
        <v>2</v>
      </c>
      <c r="C51" s="34">
        <v>8</v>
      </c>
      <c r="D51" s="34">
        <v>1</v>
      </c>
      <c r="E51" s="6"/>
      <c r="F51" s="31"/>
      <c r="G51" s="31"/>
      <c r="H51" s="31"/>
      <c r="I51" s="31"/>
      <c r="J51" s="31"/>
      <c r="K51" s="31"/>
      <c r="L51" s="31"/>
    </row>
    <row r="52" spans="1:12" s="36" customFormat="1" ht="49.5">
      <c r="A52" s="38">
        <v>2200</v>
      </c>
      <c r="B52" s="34" t="s">
        <v>7</v>
      </c>
      <c r="C52" s="34">
        <v>0</v>
      </c>
      <c r="D52" s="34">
        <v>0</v>
      </c>
      <c r="E52" s="5" t="s">
        <v>208</v>
      </c>
      <c r="F52" s="31">
        <f>+F54+F57+F60+F63+F66</f>
        <v>2400</v>
      </c>
      <c r="G52" s="31">
        <f t="shared" ref="G52:L52" si="1">+G54+G57+G60+G63+G66</f>
        <v>2400</v>
      </c>
      <c r="H52" s="31">
        <f t="shared" si="1"/>
        <v>0</v>
      </c>
      <c r="I52" s="31">
        <f t="shared" si="1"/>
        <v>571.42857142857144</v>
      </c>
      <c r="J52" s="31">
        <f t="shared" si="1"/>
        <v>1152.3809523809523</v>
      </c>
      <c r="K52" s="31">
        <f t="shared" si="1"/>
        <v>1780.952380952381</v>
      </c>
      <c r="L52" s="31">
        <f t="shared" si="1"/>
        <v>2400</v>
      </c>
    </row>
    <row r="53" spans="1:12">
      <c r="A53" s="33"/>
      <c r="B53" s="34"/>
      <c r="C53" s="34"/>
      <c r="D53" s="34"/>
      <c r="E53" s="6" t="s">
        <v>154</v>
      </c>
      <c r="F53" s="31"/>
      <c r="G53" s="31"/>
      <c r="H53" s="31"/>
      <c r="I53" s="31"/>
      <c r="J53" s="31"/>
      <c r="K53" s="31"/>
      <c r="L53" s="31"/>
    </row>
    <row r="54" spans="1:12">
      <c r="A54" s="38">
        <v>2210</v>
      </c>
      <c r="B54" s="34" t="s">
        <v>7</v>
      </c>
      <c r="C54" s="34">
        <v>1</v>
      </c>
      <c r="D54" s="34">
        <v>0</v>
      </c>
      <c r="E54" s="6" t="s">
        <v>209</v>
      </c>
      <c r="F54" s="31">
        <f>SUM(F56)</f>
        <v>0</v>
      </c>
      <c r="G54" s="31">
        <f>SUM(G56)</f>
        <v>0</v>
      </c>
      <c r="H54" s="31">
        <f>SUM(H56)</f>
        <v>0</v>
      </c>
      <c r="I54" s="31">
        <v>0</v>
      </c>
      <c r="J54" s="31">
        <v>0</v>
      </c>
      <c r="K54" s="31">
        <v>0</v>
      </c>
      <c r="L54" s="31">
        <v>0</v>
      </c>
    </row>
    <row r="55" spans="1:12" s="39" customFormat="1">
      <c r="A55" s="38"/>
      <c r="B55" s="34"/>
      <c r="C55" s="34"/>
      <c r="D55" s="34"/>
      <c r="E55" s="6" t="s">
        <v>156</v>
      </c>
      <c r="F55" s="31"/>
      <c r="G55" s="31"/>
      <c r="H55" s="31"/>
      <c r="I55" s="31"/>
      <c r="J55" s="31"/>
      <c r="K55" s="31"/>
      <c r="L55" s="31"/>
    </row>
    <row r="56" spans="1:12">
      <c r="A56" s="38">
        <v>2211</v>
      </c>
      <c r="B56" s="34" t="s">
        <v>7</v>
      </c>
      <c r="C56" s="34">
        <v>1</v>
      </c>
      <c r="D56" s="34">
        <v>1</v>
      </c>
      <c r="E56" s="6" t="s">
        <v>210</v>
      </c>
      <c r="F56" s="31">
        <f>SUM(G56:H56)</f>
        <v>0</v>
      </c>
      <c r="G56" s="31"/>
      <c r="H56" s="31"/>
      <c r="I56" s="31">
        <v>0</v>
      </c>
      <c r="J56" s="31">
        <v>0</v>
      </c>
      <c r="K56" s="31">
        <v>0</v>
      </c>
      <c r="L56" s="31">
        <v>0</v>
      </c>
    </row>
    <row r="57" spans="1:12">
      <c r="A57" s="38">
        <v>2220</v>
      </c>
      <c r="B57" s="34" t="s">
        <v>7</v>
      </c>
      <c r="C57" s="34">
        <v>2</v>
      </c>
      <c r="D57" s="34">
        <v>0</v>
      </c>
      <c r="E57" s="6" t="s">
        <v>211</v>
      </c>
      <c r="F57" s="31">
        <f>SUM(F59)</f>
        <v>0</v>
      </c>
      <c r="G57" s="31">
        <f>SUM(G59)</f>
        <v>0</v>
      </c>
      <c r="H57" s="31">
        <f>SUM(H59)</f>
        <v>0</v>
      </c>
      <c r="I57" s="31">
        <v>0</v>
      </c>
      <c r="J57" s="31">
        <v>0</v>
      </c>
      <c r="K57" s="31">
        <v>0</v>
      </c>
      <c r="L57" s="31">
        <v>0</v>
      </c>
    </row>
    <row r="58" spans="1:12" s="39" customFormat="1">
      <c r="A58" s="38"/>
      <c r="B58" s="34"/>
      <c r="C58" s="34"/>
      <c r="D58" s="34"/>
      <c r="E58" s="6" t="s">
        <v>156</v>
      </c>
      <c r="F58" s="31"/>
      <c r="G58" s="31"/>
      <c r="H58" s="31"/>
      <c r="I58" s="31"/>
      <c r="J58" s="31"/>
      <c r="K58" s="31"/>
      <c r="L58" s="31"/>
    </row>
    <row r="59" spans="1:12">
      <c r="A59" s="38">
        <v>2221</v>
      </c>
      <c r="B59" s="34" t="s">
        <v>7</v>
      </c>
      <c r="C59" s="34">
        <v>2</v>
      </c>
      <c r="D59" s="34">
        <v>1</v>
      </c>
      <c r="E59" s="6" t="s">
        <v>212</v>
      </c>
      <c r="F59" s="31">
        <f>SUM(G59:H59)</f>
        <v>0</v>
      </c>
      <c r="G59" s="31"/>
      <c r="H59" s="31"/>
      <c r="I59" s="31">
        <v>0</v>
      </c>
      <c r="J59" s="31">
        <v>0</v>
      </c>
      <c r="K59" s="31">
        <v>0</v>
      </c>
      <c r="L59" s="31">
        <v>0</v>
      </c>
    </row>
    <row r="60" spans="1:12">
      <c r="A60" s="38">
        <v>2230</v>
      </c>
      <c r="B60" s="34" t="s">
        <v>7</v>
      </c>
      <c r="C60" s="34">
        <v>3</v>
      </c>
      <c r="D60" s="34">
        <v>0</v>
      </c>
      <c r="E60" s="6" t="s">
        <v>213</v>
      </c>
      <c r="F60" s="31">
        <f>SUM(F62)</f>
        <v>0</v>
      </c>
      <c r="G60" s="31">
        <f>SUM(G62)</f>
        <v>0</v>
      </c>
      <c r="H60" s="31">
        <f>SUM(H62)</f>
        <v>0</v>
      </c>
      <c r="I60" s="31">
        <v>0</v>
      </c>
      <c r="J60" s="31">
        <v>0</v>
      </c>
      <c r="K60" s="31">
        <v>0</v>
      </c>
      <c r="L60" s="31">
        <v>0</v>
      </c>
    </row>
    <row r="61" spans="1:12" s="39" customFormat="1">
      <c r="A61" s="38"/>
      <c r="B61" s="34"/>
      <c r="C61" s="34"/>
      <c r="D61" s="34"/>
      <c r="E61" s="6" t="s">
        <v>156</v>
      </c>
      <c r="F61" s="31"/>
      <c r="G61" s="31"/>
      <c r="H61" s="31"/>
      <c r="I61" s="31"/>
      <c r="J61" s="31"/>
      <c r="K61" s="31"/>
      <c r="L61" s="31"/>
    </row>
    <row r="62" spans="1:12">
      <c r="A62" s="38">
        <v>2231</v>
      </c>
      <c r="B62" s="34" t="s">
        <v>7</v>
      </c>
      <c r="C62" s="34">
        <v>3</v>
      </c>
      <c r="D62" s="34">
        <v>1</v>
      </c>
      <c r="E62" s="6" t="s">
        <v>214</v>
      </c>
      <c r="F62" s="31">
        <f>SUM(G62:H62)</f>
        <v>0</v>
      </c>
      <c r="G62" s="31"/>
      <c r="H62" s="31"/>
      <c r="I62" s="31">
        <v>0</v>
      </c>
      <c r="J62" s="31">
        <v>0</v>
      </c>
      <c r="K62" s="31">
        <v>0</v>
      </c>
      <c r="L62" s="31">
        <v>0</v>
      </c>
    </row>
    <row r="63" spans="1:12" ht="27">
      <c r="A63" s="38">
        <v>2240</v>
      </c>
      <c r="B63" s="34" t="s">
        <v>7</v>
      </c>
      <c r="C63" s="34">
        <v>4</v>
      </c>
      <c r="D63" s="34">
        <v>0</v>
      </c>
      <c r="E63" s="6" t="s">
        <v>215</v>
      </c>
      <c r="F63" s="31">
        <f>SUM(F65)</f>
        <v>0</v>
      </c>
      <c r="G63" s="31">
        <f>SUM(G65)</f>
        <v>0</v>
      </c>
      <c r="H63" s="31">
        <f>SUM(H65)</f>
        <v>0</v>
      </c>
      <c r="I63" s="31">
        <v>0</v>
      </c>
      <c r="J63" s="31">
        <v>0</v>
      </c>
      <c r="K63" s="31">
        <v>0</v>
      </c>
      <c r="L63" s="31">
        <v>0</v>
      </c>
    </row>
    <row r="64" spans="1:12" s="39" customFormat="1">
      <c r="A64" s="38"/>
      <c r="B64" s="34"/>
      <c r="C64" s="34"/>
      <c r="D64" s="34"/>
      <c r="E64" s="6" t="s">
        <v>156</v>
      </c>
      <c r="F64" s="31"/>
      <c r="G64" s="31"/>
      <c r="H64" s="31"/>
      <c r="I64" s="31"/>
      <c r="J64" s="31"/>
      <c r="K64" s="31"/>
      <c r="L64" s="31"/>
    </row>
    <row r="65" spans="1:12" ht="27">
      <c r="A65" s="38">
        <v>2241</v>
      </c>
      <c r="B65" s="34" t="s">
        <v>7</v>
      </c>
      <c r="C65" s="34">
        <v>4</v>
      </c>
      <c r="D65" s="34">
        <v>1</v>
      </c>
      <c r="E65" s="6" t="s">
        <v>215</v>
      </c>
      <c r="F65" s="31">
        <f>SUM(G65:H65)</f>
        <v>0</v>
      </c>
      <c r="G65" s="31"/>
      <c r="H65" s="31"/>
      <c r="I65" s="31">
        <v>0</v>
      </c>
      <c r="J65" s="31">
        <v>0</v>
      </c>
      <c r="K65" s="31">
        <v>0</v>
      </c>
      <c r="L65" s="31">
        <v>0</v>
      </c>
    </row>
    <row r="66" spans="1:12">
      <c r="A66" s="38">
        <v>2250</v>
      </c>
      <c r="B66" s="34" t="s">
        <v>7</v>
      </c>
      <c r="C66" s="34">
        <v>5</v>
      </c>
      <c r="D66" s="34">
        <v>0</v>
      </c>
      <c r="E66" s="6" t="s">
        <v>216</v>
      </c>
      <c r="F66" s="31">
        <f>+F68</f>
        <v>2400</v>
      </c>
      <c r="G66" s="31">
        <f t="shared" ref="G66:L66" si="2">+G68</f>
        <v>2400</v>
      </c>
      <c r="H66" s="31">
        <f t="shared" si="2"/>
        <v>0</v>
      </c>
      <c r="I66" s="31">
        <f t="shared" si="2"/>
        <v>571.42857142857144</v>
      </c>
      <c r="J66" s="31">
        <f t="shared" si="2"/>
        <v>1152.3809523809523</v>
      </c>
      <c r="K66" s="31">
        <f t="shared" si="2"/>
        <v>1780.952380952381</v>
      </c>
      <c r="L66" s="31">
        <f t="shared" si="2"/>
        <v>2400</v>
      </c>
    </row>
    <row r="67" spans="1:12" s="39" customFormat="1">
      <c r="A67" s="38"/>
      <c r="B67" s="34"/>
      <c r="C67" s="34"/>
      <c r="D67" s="34"/>
      <c r="E67" s="6" t="s">
        <v>156</v>
      </c>
      <c r="F67" s="31"/>
      <c r="G67" s="31"/>
      <c r="H67" s="31"/>
      <c r="I67" s="31"/>
      <c r="J67" s="31"/>
      <c r="K67" s="31"/>
      <c r="L67" s="31"/>
    </row>
    <row r="68" spans="1:12">
      <c r="A68" s="38">
        <v>2251</v>
      </c>
      <c r="B68" s="34" t="s">
        <v>7</v>
      </c>
      <c r="C68" s="34">
        <v>5</v>
      </c>
      <c r="D68" s="34">
        <v>1</v>
      </c>
      <c r="E68" s="6" t="s">
        <v>216</v>
      </c>
      <c r="F68" s="31">
        <f>+'4.Gorcarakan ev tntesagitakan'!H156</f>
        <v>2400</v>
      </c>
      <c r="G68" s="31">
        <f>+'4.Gorcarakan ev tntesagitakan'!I156</f>
        <v>2400</v>
      </c>
      <c r="H68" s="31">
        <f>+'4.Gorcarakan ev tntesagitakan'!J156</f>
        <v>0</v>
      </c>
      <c r="I68" s="31">
        <f>+'4.Gorcarakan ev tntesagitakan'!K156</f>
        <v>571.42857142857144</v>
      </c>
      <c r="J68" s="31">
        <f>+'4.Gorcarakan ev tntesagitakan'!L156</f>
        <v>1152.3809523809523</v>
      </c>
      <c r="K68" s="31">
        <f>+'4.Gorcarakan ev tntesagitakan'!M156</f>
        <v>1780.952380952381</v>
      </c>
      <c r="L68" s="31">
        <f>+'4.Gorcarakan ev tntesagitakan'!N156</f>
        <v>2400</v>
      </c>
    </row>
    <row r="69" spans="1:12" s="36" customFormat="1" ht="54">
      <c r="A69" s="38">
        <v>2300</v>
      </c>
      <c r="B69" s="34" t="s">
        <v>8</v>
      </c>
      <c r="C69" s="34">
        <v>0</v>
      </c>
      <c r="D69" s="34">
        <v>0</v>
      </c>
      <c r="E69" s="6" t="s">
        <v>217</v>
      </c>
      <c r="F69" s="31">
        <f>SUM(F71,F76,F79,F83,F86,F89,F92)</f>
        <v>0</v>
      </c>
      <c r="G69" s="31">
        <f>SUM(G71,G76,G79,G83,G86,G89,G92)</f>
        <v>0</v>
      </c>
      <c r="H69" s="31">
        <f>SUM(H71,H76,H79,H83,H86,H89,H92)</f>
        <v>0</v>
      </c>
      <c r="I69" s="31">
        <v>0</v>
      </c>
      <c r="J69" s="31">
        <v>0</v>
      </c>
      <c r="K69" s="31">
        <v>0</v>
      </c>
      <c r="L69" s="31">
        <v>0</v>
      </c>
    </row>
    <row r="70" spans="1:12">
      <c r="A70" s="33"/>
      <c r="B70" s="34"/>
      <c r="C70" s="34"/>
      <c r="D70" s="34"/>
      <c r="E70" s="6" t="s">
        <v>154</v>
      </c>
      <c r="F70" s="31"/>
      <c r="G70" s="31"/>
      <c r="H70" s="31"/>
      <c r="I70" s="31"/>
      <c r="J70" s="31"/>
      <c r="K70" s="31"/>
      <c r="L70" s="31"/>
    </row>
    <row r="71" spans="1:12">
      <c r="A71" s="38">
        <v>2310</v>
      </c>
      <c r="B71" s="34" t="s">
        <v>8</v>
      </c>
      <c r="C71" s="34">
        <v>1</v>
      </c>
      <c r="D71" s="34">
        <v>0</v>
      </c>
      <c r="E71" s="6" t="s">
        <v>218</v>
      </c>
      <c r="F71" s="31">
        <f>SUM(F73:F75)</f>
        <v>0</v>
      </c>
      <c r="G71" s="31">
        <f>SUM(G73:G75)</f>
        <v>0</v>
      </c>
      <c r="H71" s="31">
        <f>SUM(H73:H75)</f>
        <v>0</v>
      </c>
      <c r="I71" s="31">
        <v>0</v>
      </c>
      <c r="J71" s="31">
        <v>0</v>
      </c>
      <c r="K71" s="31">
        <v>0</v>
      </c>
      <c r="L71" s="31">
        <v>0</v>
      </c>
    </row>
    <row r="72" spans="1:12" s="39" customFormat="1">
      <c r="A72" s="38"/>
      <c r="B72" s="34"/>
      <c r="C72" s="34"/>
      <c r="D72" s="34"/>
      <c r="E72" s="6" t="s">
        <v>156</v>
      </c>
      <c r="F72" s="31"/>
      <c r="G72" s="31"/>
      <c r="H72" s="31"/>
      <c r="I72" s="31"/>
      <c r="J72" s="31"/>
      <c r="K72" s="31"/>
      <c r="L72" s="31"/>
    </row>
    <row r="73" spans="1:12">
      <c r="A73" s="38">
        <v>2311</v>
      </c>
      <c r="B73" s="34" t="s">
        <v>8</v>
      </c>
      <c r="C73" s="34">
        <v>1</v>
      </c>
      <c r="D73" s="34">
        <v>1</v>
      </c>
      <c r="E73" s="6" t="s">
        <v>219</v>
      </c>
      <c r="F73" s="31">
        <f>SUM(G73:H73)</f>
        <v>0</v>
      </c>
      <c r="G73" s="31"/>
      <c r="H73" s="31"/>
      <c r="I73" s="31">
        <v>0</v>
      </c>
      <c r="J73" s="31">
        <v>0</v>
      </c>
      <c r="K73" s="31">
        <v>0</v>
      </c>
      <c r="L73" s="31">
        <v>0</v>
      </c>
    </row>
    <row r="74" spans="1:12">
      <c r="A74" s="38">
        <v>2312</v>
      </c>
      <c r="B74" s="34" t="s">
        <v>8</v>
      </c>
      <c r="C74" s="34">
        <v>1</v>
      </c>
      <c r="D74" s="34">
        <v>2</v>
      </c>
      <c r="E74" s="6" t="s">
        <v>220</v>
      </c>
      <c r="F74" s="31">
        <f>SUM(G74:H74)</f>
        <v>0</v>
      </c>
      <c r="G74" s="31"/>
      <c r="H74" s="31"/>
      <c r="I74" s="31">
        <v>0</v>
      </c>
      <c r="J74" s="31">
        <v>0</v>
      </c>
      <c r="K74" s="31">
        <v>0</v>
      </c>
      <c r="L74" s="31">
        <v>0</v>
      </c>
    </row>
    <row r="75" spans="1:12">
      <c r="A75" s="38">
        <v>2313</v>
      </c>
      <c r="B75" s="34" t="s">
        <v>8</v>
      </c>
      <c r="C75" s="34">
        <v>1</v>
      </c>
      <c r="D75" s="34">
        <v>3</v>
      </c>
      <c r="E75" s="6" t="s">
        <v>221</v>
      </c>
      <c r="F75" s="31">
        <f>SUM(G75:H75)</f>
        <v>0</v>
      </c>
      <c r="G75" s="31"/>
      <c r="H75" s="31"/>
      <c r="I75" s="31">
        <v>0</v>
      </c>
      <c r="J75" s="31">
        <v>0</v>
      </c>
      <c r="K75" s="31">
        <v>0</v>
      </c>
      <c r="L75" s="31">
        <v>0</v>
      </c>
    </row>
    <row r="76" spans="1:12">
      <c r="A76" s="38">
        <v>2320</v>
      </c>
      <c r="B76" s="34" t="s">
        <v>8</v>
      </c>
      <c r="C76" s="34">
        <v>2</v>
      </c>
      <c r="D76" s="34">
        <v>0</v>
      </c>
      <c r="E76" s="6" t="s">
        <v>222</v>
      </c>
      <c r="F76" s="31">
        <f>SUM(F78)</f>
        <v>0</v>
      </c>
      <c r="G76" s="31">
        <f>SUM(G78)</f>
        <v>0</v>
      </c>
      <c r="H76" s="31">
        <f>SUM(H78)</f>
        <v>0</v>
      </c>
      <c r="I76" s="31">
        <v>0</v>
      </c>
      <c r="J76" s="31">
        <v>0</v>
      </c>
      <c r="K76" s="31">
        <v>0</v>
      </c>
      <c r="L76" s="31">
        <v>0</v>
      </c>
    </row>
    <row r="77" spans="1:12" s="39" customFormat="1">
      <c r="A77" s="38"/>
      <c r="B77" s="34"/>
      <c r="C77" s="34"/>
      <c r="D77" s="34"/>
      <c r="E77" s="6" t="s">
        <v>156</v>
      </c>
      <c r="F77" s="31"/>
      <c r="G77" s="31"/>
      <c r="H77" s="31"/>
      <c r="I77" s="31"/>
      <c r="J77" s="31"/>
      <c r="K77" s="31"/>
      <c r="L77" s="31"/>
    </row>
    <row r="78" spans="1:12">
      <c r="A78" s="38">
        <v>2321</v>
      </c>
      <c r="B78" s="34" t="s">
        <v>8</v>
      </c>
      <c r="C78" s="34">
        <v>2</v>
      </c>
      <c r="D78" s="34">
        <v>1</v>
      </c>
      <c r="E78" s="6" t="s">
        <v>223</v>
      </c>
      <c r="F78" s="31">
        <f>SUM(G78:H78)</f>
        <v>0</v>
      </c>
      <c r="G78" s="31"/>
      <c r="H78" s="31"/>
      <c r="I78" s="31">
        <v>0</v>
      </c>
      <c r="J78" s="31">
        <v>0</v>
      </c>
      <c r="K78" s="31">
        <v>0</v>
      </c>
      <c r="L78" s="31">
        <v>0</v>
      </c>
    </row>
    <row r="79" spans="1:12" ht="27">
      <c r="A79" s="38">
        <v>2330</v>
      </c>
      <c r="B79" s="34" t="s">
        <v>8</v>
      </c>
      <c r="C79" s="34">
        <v>3</v>
      </c>
      <c r="D79" s="34">
        <v>0</v>
      </c>
      <c r="E79" s="6" t="s">
        <v>224</v>
      </c>
      <c r="F79" s="31">
        <f>SUM(F81:F82)</f>
        <v>0</v>
      </c>
      <c r="G79" s="31">
        <f>SUM(G81:G82)</f>
        <v>0</v>
      </c>
      <c r="H79" s="31">
        <f>SUM(H81:H82)</f>
        <v>0</v>
      </c>
      <c r="I79" s="31">
        <v>0</v>
      </c>
      <c r="J79" s="31">
        <v>0</v>
      </c>
      <c r="K79" s="31">
        <v>0</v>
      </c>
      <c r="L79" s="31">
        <v>0</v>
      </c>
    </row>
    <row r="80" spans="1:12" s="39" customFormat="1">
      <c r="A80" s="38"/>
      <c r="B80" s="34"/>
      <c r="C80" s="34"/>
      <c r="D80" s="34"/>
      <c r="E80" s="6" t="s">
        <v>156</v>
      </c>
      <c r="F80" s="31"/>
      <c r="G80" s="31"/>
      <c r="H80" s="31"/>
      <c r="I80" s="31"/>
      <c r="J80" s="31"/>
      <c r="K80" s="31"/>
      <c r="L80" s="31"/>
    </row>
    <row r="81" spans="1:12">
      <c r="A81" s="38">
        <v>2331</v>
      </c>
      <c r="B81" s="34" t="s">
        <v>8</v>
      </c>
      <c r="C81" s="34">
        <v>3</v>
      </c>
      <c r="D81" s="34">
        <v>1</v>
      </c>
      <c r="E81" s="6" t="s">
        <v>225</v>
      </c>
      <c r="F81" s="31">
        <f>SUM(G81:H81)</f>
        <v>0</v>
      </c>
      <c r="G81" s="31"/>
      <c r="H81" s="31"/>
      <c r="I81" s="31">
        <v>0</v>
      </c>
      <c r="J81" s="31">
        <v>0</v>
      </c>
      <c r="K81" s="31">
        <v>0</v>
      </c>
      <c r="L81" s="31">
        <v>0</v>
      </c>
    </row>
    <row r="82" spans="1:12">
      <c r="A82" s="38">
        <v>2332</v>
      </c>
      <c r="B82" s="34" t="s">
        <v>8</v>
      </c>
      <c r="C82" s="34">
        <v>3</v>
      </c>
      <c r="D82" s="34">
        <v>2</v>
      </c>
      <c r="E82" s="6" t="s">
        <v>226</v>
      </c>
      <c r="F82" s="31">
        <f>SUM(G82:H82)</f>
        <v>0</v>
      </c>
      <c r="G82" s="31"/>
      <c r="H82" s="31"/>
      <c r="I82" s="31">
        <v>0</v>
      </c>
      <c r="J82" s="31">
        <v>0</v>
      </c>
      <c r="K82" s="31">
        <v>0</v>
      </c>
      <c r="L82" s="31">
        <v>0</v>
      </c>
    </row>
    <row r="83" spans="1:12">
      <c r="A83" s="38">
        <v>2340</v>
      </c>
      <c r="B83" s="34" t="s">
        <v>8</v>
      </c>
      <c r="C83" s="34">
        <v>4</v>
      </c>
      <c r="D83" s="34">
        <v>0</v>
      </c>
      <c r="E83" s="6" t="s">
        <v>227</v>
      </c>
      <c r="F83" s="31">
        <f>SUM(F85)</f>
        <v>0</v>
      </c>
      <c r="G83" s="31">
        <f>SUM(G85)</f>
        <v>0</v>
      </c>
      <c r="H83" s="31">
        <f>SUM(H85)</f>
        <v>0</v>
      </c>
      <c r="I83" s="31">
        <v>0</v>
      </c>
      <c r="J83" s="31">
        <v>0</v>
      </c>
      <c r="K83" s="31">
        <v>0</v>
      </c>
      <c r="L83" s="31">
        <v>0</v>
      </c>
    </row>
    <row r="84" spans="1:12" s="39" customFormat="1">
      <c r="A84" s="38"/>
      <c r="B84" s="34"/>
      <c r="C84" s="34"/>
      <c r="D84" s="34"/>
      <c r="E84" s="6" t="s">
        <v>156</v>
      </c>
      <c r="F84" s="31"/>
      <c r="G84" s="31"/>
      <c r="H84" s="31"/>
      <c r="I84" s="31"/>
      <c r="J84" s="31"/>
      <c r="K84" s="31"/>
      <c r="L84" s="31"/>
    </row>
    <row r="85" spans="1:12">
      <c r="A85" s="38">
        <v>2341</v>
      </c>
      <c r="B85" s="34" t="s">
        <v>8</v>
      </c>
      <c r="C85" s="34">
        <v>4</v>
      </c>
      <c r="D85" s="34">
        <v>1</v>
      </c>
      <c r="E85" s="6" t="s">
        <v>227</v>
      </c>
      <c r="F85" s="31">
        <f>SUM(G85:H85)</f>
        <v>0</v>
      </c>
      <c r="G85" s="31"/>
      <c r="H85" s="31"/>
      <c r="I85" s="31">
        <v>0</v>
      </c>
      <c r="J85" s="31">
        <v>0</v>
      </c>
      <c r="K85" s="31">
        <v>0</v>
      </c>
      <c r="L85" s="31">
        <v>0</v>
      </c>
    </row>
    <row r="86" spans="1:12">
      <c r="A86" s="38">
        <v>2350</v>
      </c>
      <c r="B86" s="34" t="s">
        <v>8</v>
      </c>
      <c r="C86" s="34">
        <v>5</v>
      </c>
      <c r="D86" s="34">
        <v>0</v>
      </c>
      <c r="E86" s="6" t="s">
        <v>228</v>
      </c>
      <c r="F86" s="31">
        <f>SUM(F88)</f>
        <v>0</v>
      </c>
      <c r="G86" s="31">
        <f>SUM(G88)</f>
        <v>0</v>
      </c>
      <c r="H86" s="31">
        <f>SUM(H88)</f>
        <v>0</v>
      </c>
      <c r="I86" s="31">
        <v>0</v>
      </c>
      <c r="J86" s="31">
        <v>0</v>
      </c>
      <c r="K86" s="31">
        <v>0</v>
      </c>
      <c r="L86" s="31">
        <v>0</v>
      </c>
    </row>
    <row r="87" spans="1:12" s="39" customFormat="1">
      <c r="A87" s="38"/>
      <c r="B87" s="34"/>
      <c r="C87" s="34"/>
      <c r="D87" s="34"/>
      <c r="E87" s="6" t="s">
        <v>156</v>
      </c>
      <c r="F87" s="31"/>
      <c r="G87" s="31"/>
      <c r="H87" s="31"/>
      <c r="I87" s="31"/>
      <c r="J87" s="31"/>
      <c r="K87" s="31"/>
      <c r="L87" s="31"/>
    </row>
    <row r="88" spans="1:12">
      <c r="A88" s="38">
        <v>2351</v>
      </c>
      <c r="B88" s="34" t="s">
        <v>8</v>
      </c>
      <c r="C88" s="34">
        <v>5</v>
      </c>
      <c r="D88" s="34">
        <v>1</v>
      </c>
      <c r="E88" s="6" t="s">
        <v>229</v>
      </c>
      <c r="F88" s="31">
        <f>SUM(G88:H88)</f>
        <v>0</v>
      </c>
      <c r="G88" s="31"/>
      <c r="H88" s="31"/>
      <c r="I88" s="31">
        <v>0</v>
      </c>
      <c r="J88" s="31">
        <v>0</v>
      </c>
      <c r="K88" s="31">
        <v>0</v>
      </c>
      <c r="L88" s="31">
        <v>0</v>
      </c>
    </row>
    <row r="89" spans="1:12" ht="40.5">
      <c r="A89" s="38">
        <v>2360</v>
      </c>
      <c r="B89" s="34" t="s">
        <v>8</v>
      </c>
      <c r="C89" s="34">
        <v>6</v>
      </c>
      <c r="D89" s="34">
        <v>0</v>
      </c>
      <c r="E89" s="6" t="s">
        <v>230</v>
      </c>
      <c r="F89" s="31">
        <f>SUM(F91)</f>
        <v>0</v>
      </c>
      <c r="G89" s="31">
        <f>SUM(G91)</f>
        <v>0</v>
      </c>
      <c r="H89" s="31">
        <f>SUM(H91)</f>
        <v>0</v>
      </c>
      <c r="I89" s="31">
        <v>0</v>
      </c>
      <c r="J89" s="31">
        <v>0</v>
      </c>
      <c r="K89" s="31">
        <v>0</v>
      </c>
      <c r="L89" s="31">
        <v>0</v>
      </c>
    </row>
    <row r="90" spans="1:12" s="39" customFormat="1">
      <c r="A90" s="38"/>
      <c r="B90" s="34"/>
      <c r="C90" s="34"/>
      <c r="D90" s="34"/>
      <c r="E90" s="6" t="s">
        <v>156</v>
      </c>
      <c r="F90" s="31"/>
      <c r="G90" s="31"/>
      <c r="H90" s="31"/>
      <c r="I90" s="31"/>
      <c r="J90" s="31"/>
      <c r="K90" s="31"/>
      <c r="L90" s="31"/>
    </row>
    <row r="91" spans="1:12" ht="40.5">
      <c r="A91" s="38">
        <v>2361</v>
      </c>
      <c r="B91" s="34" t="s">
        <v>8</v>
      </c>
      <c r="C91" s="34">
        <v>6</v>
      </c>
      <c r="D91" s="34">
        <v>1</v>
      </c>
      <c r="E91" s="6" t="s">
        <v>230</v>
      </c>
      <c r="F91" s="31">
        <f>SUM(G91:H91)</f>
        <v>0</v>
      </c>
      <c r="G91" s="31"/>
      <c r="H91" s="31"/>
      <c r="I91" s="31">
        <v>0</v>
      </c>
      <c r="J91" s="31">
        <v>0</v>
      </c>
      <c r="K91" s="31">
        <v>0</v>
      </c>
      <c r="L91" s="31">
        <v>0</v>
      </c>
    </row>
    <row r="92" spans="1:12" ht="27">
      <c r="A92" s="38">
        <v>2370</v>
      </c>
      <c r="B92" s="34" t="s">
        <v>8</v>
      </c>
      <c r="C92" s="34">
        <v>7</v>
      </c>
      <c r="D92" s="34">
        <v>0</v>
      </c>
      <c r="E92" s="6" t="s">
        <v>231</v>
      </c>
      <c r="F92" s="31">
        <f>SUM(F94)</f>
        <v>0</v>
      </c>
      <c r="G92" s="31">
        <f>SUM(G94)</f>
        <v>0</v>
      </c>
      <c r="H92" s="31">
        <f>SUM(H94)</f>
        <v>0</v>
      </c>
      <c r="I92" s="31">
        <v>0</v>
      </c>
      <c r="J92" s="31">
        <v>0</v>
      </c>
      <c r="K92" s="31">
        <v>0</v>
      </c>
      <c r="L92" s="31">
        <v>0</v>
      </c>
    </row>
    <row r="93" spans="1:12" s="39" customFormat="1">
      <c r="A93" s="38"/>
      <c r="B93" s="34"/>
      <c r="C93" s="34"/>
      <c r="D93" s="34"/>
      <c r="E93" s="6" t="s">
        <v>156</v>
      </c>
      <c r="F93" s="31"/>
      <c r="G93" s="31"/>
      <c r="H93" s="31"/>
      <c r="I93" s="31"/>
      <c r="J93" s="31"/>
      <c r="K93" s="31"/>
      <c r="L93" s="31"/>
    </row>
    <row r="94" spans="1:12" ht="27">
      <c r="A94" s="38">
        <v>2371</v>
      </c>
      <c r="B94" s="34" t="s">
        <v>8</v>
      </c>
      <c r="C94" s="34">
        <v>7</v>
      </c>
      <c r="D94" s="34">
        <v>1</v>
      </c>
      <c r="E94" s="6" t="s">
        <v>232</v>
      </c>
      <c r="F94" s="31">
        <f>SUM(G94:H94)</f>
        <v>0</v>
      </c>
      <c r="G94" s="31"/>
      <c r="H94" s="31"/>
      <c r="I94" s="31">
        <v>0</v>
      </c>
      <c r="J94" s="31">
        <v>0</v>
      </c>
      <c r="K94" s="31">
        <v>0</v>
      </c>
      <c r="L94" s="31">
        <v>0</v>
      </c>
    </row>
    <row r="95" spans="1:12" s="36" customFormat="1" ht="40.5">
      <c r="A95" s="38">
        <v>2400</v>
      </c>
      <c r="B95" s="34" t="s">
        <v>9</v>
      </c>
      <c r="C95" s="34">
        <v>0</v>
      </c>
      <c r="D95" s="34">
        <v>0</v>
      </c>
      <c r="E95" s="6" t="s">
        <v>233</v>
      </c>
      <c r="F95" s="31">
        <f>+F97+F101+F107+F115+F120+F127+F130+F136+F145</f>
        <v>2747651.5290000001</v>
      </c>
      <c r="G95" s="31">
        <f t="shared" ref="G95:L95" si="3">+G97+G101+G107+G115+G120+G127+G130+G136+G145</f>
        <v>434477.2</v>
      </c>
      <c r="H95" s="31">
        <f t="shared" si="3"/>
        <v>2313174.3289999999</v>
      </c>
      <c r="I95" s="31">
        <f t="shared" si="3"/>
        <v>2270897.4398476197</v>
      </c>
      <c r="J95" s="31">
        <f t="shared" si="3"/>
        <v>2361096.7866460318</v>
      </c>
      <c r="K95" s="31">
        <f t="shared" si="3"/>
        <v>2570621.8968190155</v>
      </c>
      <c r="L95" s="31">
        <f t="shared" si="3"/>
        <v>2747651.5290000001</v>
      </c>
    </row>
    <row r="96" spans="1:12">
      <c r="A96" s="33"/>
      <c r="B96" s="34"/>
      <c r="C96" s="34"/>
      <c r="D96" s="34"/>
      <c r="E96" s="6" t="s">
        <v>154</v>
      </c>
      <c r="F96" s="31"/>
      <c r="G96" s="31"/>
      <c r="H96" s="31"/>
      <c r="I96" s="31"/>
      <c r="J96" s="31"/>
      <c r="K96" s="31"/>
      <c r="L96" s="31"/>
    </row>
    <row r="97" spans="1:12" ht="27">
      <c r="A97" s="38">
        <v>2410</v>
      </c>
      <c r="B97" s="34" t="s">
        <v>9</v>
      </c>
      <c r="C97" s="34">
        <v>1</v>
      </c>
      <c r="D97" s="34">
        <v>0</v>
      </c>
      <c r="E97" s="6" t="s">
        <v>234</v>
      </c>
      <c r="F97" s="31">
        <f>SUM(F99:F100)</f>
        <v>0</v>
      </c>
      <c r="G97" s="31">
        <f>SUM(G99:G100)</f>
        <v>0</v>
      </c>
      <c r="H97" s="31">
        <f>SUM(H99:H100)</f>
        <v>0</v>
      </c>
      <c r="I97" s="31">
        <v>0</v>
      </c>
      <c r="J97" s="31">
        <v>0</v>
      </c>
      <c r="K97" s="31">
        <v>0</v>
      </c>
      <c r="L97" s="31">
        <v>0</v>
      </c>
    </row>
    <row r="98" spans="1:12" s="39" customFormat="1">
      <c r="A98" s="38"/>
      <c r="B98" s="34"/>
      <c r="C98" s="34"/>
      <c r="D98" s="34"/>
      <c r="E98" s="6" t="s">
        <v>156</v>
      </c>
      <c r="F98" s="31"/>
      <c r="G98" s="31"/>
      <c r="H98" s="31"/>
      <c r="I98" s="31"/>
      <c r="J98" s="31"/>
      <c r="K98" s="31"/>
      <c r="L98" s="31"/>
    </row>
    <row r="99" spans="1:12" ht="27">
      <c r="A99" s="38">
        <v>2411</v>
      </c>
      <c r="B99" s="34" t="s">
        <v>9</v>
      </c>
      <c r="C99" s="34">
        <v>1</v>
      </c>
      <c r="D99" s="34">
        <v>1</v>
      </c>
      <c r="E99" s="6" t="s">
        <v>235</v>
      </c>
      <c r="F99" s="31">
        <f>SUM(G99:H99)</f>
        <v>0</v>
      </c>
      <c r="G99" s="31"/>
      <c r="H99" s="31"/>
      <c r="I99" s="31">
        <v>0</v>
      </c>
      <c r="J99" s="31">
        <v>0</v>
      </c>
      <c r="K99" s="31">
        <v>0</v>
      </c>
      <c r="L99" s="31">
        <v>0</v>
      </c>
    </row>
    <row r="100" spans="1:12" ht="27">
      <c r="A100" s="38">
        <v>2412</v>
      </c>
      <c r="B100" s="34" t="s">
        <v>9</v>
      </c>
      <c r="C100" s="34">
        <v>1</v>
      </c>
      <c r="D100" s="34">
        <v>2</v>
      </c>
      <c r="E100" s="6" t="s">
        <v>236</v>
      </c>
      <c r="F100" s="31">
        <f>SUM(G100:H100)</f>
        <v>0</v>
      </c>
      <c r="G100" s="31"/>
      <c r="H100" s="31"/>
      <c r="I100" s="31">
        <v>0</v>
      </c>
      <c r="J100" s="31">
        <v>0</v>
      </c>
      <c r="K100" s="31">
        <v>0</v>
      </c>
      <c r="L100" s="31">
        <v>0</v>
      </c>
    </row>
    <row r="101" spans="1:12" ht="27">
      <c r="A101" s="38">
        <v>2420</v>
      </c>
      <c r="B101" s="34" t="s">
        <v>9</v>
      </c>
      <c r="C101" s="34">
        <v>2</v>
      </c>
      <c r="D101" s="34">
        <v>0</v>
      </c>
      <c r="E101" s="6" t="s">
        <v>237</v>
      </c>
      <c r="F101" s="31">
        <f>SUM(F103:F106)</f>
        <v>0</v>
      </c>
      <c r="G101" s="31">
        <f>SUM(G103:G106)</f>
        <v>0</v>
      </c>
      <c r="H101" s="31">
        <f>SUM(H103:H106)</f>
        <v>0</v>
      </c>
      <c r="I101" s="31">
        <v>0</v>
      </c>
      <c r="J101" s="31">
        <v>0</v>
      </c>
      <c r="K101" s="31">
        <v>0</v>
      </c>
      <c r="L101" s="31">
        <v>0</v>
      </c>
    </row>
    <row r="102" spans="1:12" s="39" customFormat="1">
      <c r="A102" s="38"/>
      <c r="B102" s="34"/>
      <c r="C102" s="34"/>
      <c r="D102" s="34"/>
      <c r="E102" s="6" t="s">
        <v>156</v>
      </c>
      <c r="F102" s="31"/>
      <c r="G102" s="31"/>
      <c r="H102" s="31"/>
      <c r="I102" s="31"/>
      <c r="J102" s="31"/>
      <c r="K102" s="31"/>
      <c r="L102" s="31"/>
    </row>
    <row r="103" spans="1:12">
      <c r="A103" s="38">
        <v>2421</v>
      </c>
      <c r="B103" s="34" t="s">
        <v>9</v>
      </c>
      <c r="C103" s="34">
        <v>2</v>
      </c>
      <c r="D103" s="34">
        <v>1</v>
      </c>
      <c r="E103" s="6" t="s">
        <v>238</v>
      </c>
      <c r="F103" s="31">
        <f>SUM(G103:H103)</f>
        <v>0</v>
      </c>
      <c r="G103" s="31"/>
      <c r="H103" s="31"/>
      <c r="I103" s="31">
        <v>0</v>
      </c>
      <c r="J103" s="31">
        <v>0</v>
      </c>
      <c r="K103" s="31">
        <v>0</v>
      </c>
      <c r="L103" s="31">
        <v>0</v>
      </c>
    </row>
    <row r="104" spans="1:12">
      <c r="A104" s="38">
        <v>2422</v>
      </c>
      <c r="B104" s="34" t="s">
        <v>9</v>
      </c>
      <c r="C104" s="34">
        <v>2</v>
      </c>
      <c r="D104" s="34">
        <v>2</v>
      </c>
      <c r="E104" s="6" t="s">
        <v>239</v>
      </c>
      <c r="F104" s="31">
        <f>SUM(G104:H104)</f>
        <v>0</v>
      </c>
      <c r="G104" s="31"/>
      <c r="H104" s="31"/>
      <c r="I104" s="31">
        <v>0</v>
      </c>
      <c r="J104" s="31">
        <v>0</v>
      </c>
      <c r="K104" s="31">
        <v>0</v>
      </c>
      <c r="L104" s="31">
        <v>0</v>
      </c>
    </row>
    <row r="105" spans="1:12">
      <c r="A105" s="38">
        <v>2423</v>
      </c>
      <c r="B105" s="34" t="s">
        <v>9</v>
      </c>
      <c r="C105" s="34">
        <v>2</v>
      </c>
      <c r="D105" s="34">
        <v>3</v>
      </c>
      <c r="E105" s="6" t="s">
        <v>240</v>
      </c>
      <c r="F105" s="31">
        <f>SUM(G105:H105)</f>
        <v>0</v>
      </c>
      <c r="G105" s="31"/>
      <c r="H105" s="31"/>
      <c r="I105" s="31">
        <v>0</v>
      </c>
      <c r="J105" s="31">
        <v>0</v>
      </c>
      <c r="K105" s="31">
        <v>0</v>
      </c>
      <c r="L105" s="31">
        <v>0</v>
      </c>
    </row>
    <row r="106" spans="1:12">
      <c r="A106" s="38">
        <v>2424</v>
      </c>
      <c r="B106" s="34" t="s">
        <v>9</v>
      </c>
      <c r="C106" s="34">
        <v>2</v>
      </c>
      <c r="D106" s="34">
        <v>4</v>
      </c>
      <c r="E106" s="6" t="s">
        <v>241</v>
      </c>
      <c r="F106" s="31">
        <f>SUM(G106:H106)</f>
        <v>0</v>
      </c>
      <c r="G106" s="31"/>
      <c r="H106" s="31"/>
      <c r="I106" s="31">
        <v>0</v>
      </c>
      <c r="J106" s="31">
        <v>0</v>
      </c>
      <c r="K106" s="31">
        <v>0</v>
      </c>
      <c r="L106" s="31">
        <v>0</v>
      </c>
    </row>
    <row r="107" spans="1:12">
      <c r="A107" s="38">
        <v>2430</v>
      </c>
      <c r="B107" s="34" t="s">
        <v>9</v>
      </c>
      <c r="C107" s="34">
        <v>3</v>
      </c>
      <c r="D107" s="34">
        <v>0</v>
      </c>
      <c r="E107" s="6" t="s">
        <v>242</v>
      </c>
      <c r="F107" s="31">
        <f>SUM(F109:F114)</f>
        <v>0</v>
      </c>
      <c r="G107" s="31">
        <f>SUM(G109:G114)</f>
        <v>0</v>
      </c>
      <c r="H107" s="31">
        <f>SUM(H109:H114)</f>
        <v>0</v>
      </c>
      <c r="I107" s="31">
        <v>0</v>
      </c>
      <c r="J107" s="31">
        <v>0</v>
      </c>
      <c r="K107" s="31">
        <v>0</v>
      </c>
      <c r="L107" s="31">
        <v>0</v>
      </c>
    </row>
    <row r="108" spans="1:12" s="39" customFormat="1">
      <c r="A108" s="38"/>
      <c r="B108" s="34"/>
      <c r="C108" s="34"/>
      <c r="D108" s="34"/>
      <c r="E108" s="6" t="s">
        <v>156</v>
      </c>
      <c r="F108" s="31"/>
      <c r="G108" s="31"/>
      <c r="H108" s="31"/>
      <c r="I108" s="31"/>
      <c r="J108" s="31"/>
      <c r="K108" s="31"/>
      <c r="L108" s="31"/>
    </row>
    <row r="109" spans="1:12">
      <c r="A109" s="38">
        <v>2431</v>
      </c>
      <c r="B109" s="34" t="s">
        <v>9</v>
      </c>
      <c r="C109" s="34">
        <v>3</v>
      </c>
      <c r="D109" s="34">
        <v>1</v>
      </c>
      <c r="E109" s="6" t="s">
        <v>243</v>
      </c>
      <c r="F109" s="31">
        <f t="shared" ref="F109:F114" si="4">SUM(G109:H109)</f>
        <v>0</v>
      </c>
      <c r="G109" s="31"/>
      <c r="H109" s="31"/>
      <c r="I109" s="31">
        <v>0</v>
      </c>
      <c r="J109" s="31">
        <v>0</v>
      </c>
      <c r="K109" s="31">
        <v>0</v>
      </c>
      <c r="L109" s="31">
        <v>0</v>
      </c>
    </row>
    <row r="110" spans="1:12">
      <c r="A110" s="38">
        <v>2432</v>
      </c>
      <c r="B110" s="34" t="s">
        <v>9</v>
      </c>
      <c r="C110" s="34">
        <v>3</v>
      </c>
      <c r="D110" s="34">
        <v>2</v>
      </c>
      <c r="E110" s="6" t="s">
        <v>244</v>
      </c>
      <c r="F110" s="31">
        <f t="shared" si="4"/>
        <v>0</v>
      </c>
      <c r="G110" s="31"/>
      <c r="H110" s="31"/>
      <c r="I110" s="31">
        <v>0</v>
      </c>
      <c r="J110" s="31">
        <v>0</v>
      </c>
      <c r="K110" s="31">
        <v>0</v>
      </c>
      <c r="L110" s="31">
        <v>0</v>
      </c>
    </row>
    <row r="111" spans="1:12">
      <c r="A111" s="38">
        <v>2433</v>
      </c>
      <c r="B111" s="34" t="s">
        <v>9</v>
      </c>
      <c r="C111" s="34">
        <v>3</v>
      </c>
      <c r="D111" s="34">
        <v>3</v>
      </c>
      <c r="E111" s="6" t="s">
        <v>245</v>
      </c>
      <c r="F111" s="31">
        <f t="shared" si="4"/>
        <v>0</v>
      </c>
      <c r="G111" s="31"/>
      <c r="H111" s="31"/>
      <c r="I111" s="31">
        <v>0</v>
      </c>
      <c r="J111" s="31">
        <v>0</v>
      </c>
      <c r="K111" s="31">
        <v>0</v>
      </c>
      <c r="L111" s="31">
        <v>0</v>
      </c>
    </row>
    <row r="112" spans="1:12">
      <c r="A112" s="38">
        <v>2434</v>
      </c>
      <c r="B112" s="34" t="s">
        <v>9</v>
      </c>
      <c r="C112" s="34">
        <v>3</v>
      </c>
      <c r="D112" s="34">
        <v>4</v>
      </c>
      <c r="E112" s="6" t="s">
        <v>246</v>
      </c>
      <c r="F112" s="31">
        <f t="shared" si="4"/>
        <v>0</v>
      </c>
      <c r="G112" s="31"/>
      <c r="H112" s="31"/>
      <c r="I112" s="31">
        <v>0</v>
      </c>
      <c r="J112" s="31">
        <v>0</v>
      </c>
      <c r="K112" s="31">
        <v>0</v>
      </c>
      <c r="L112" s="31">
        <v>0</v>
      </c>
    </row>
    <row r="113" spans="1:12">
      <c r="A113" s="38">
        <v>2435</v>
      </c>
      <c r="B113" s="34" t="s">
        <v>9</v>
      </c>
      <c r="C113" s="34">
        <v>3</v>
      </c>
      <c r="D113" s="34">
        <v>5</v>
      </c>
      <c r="E113" s="6" t="s">
        <v>247</v>
      </c>
      <c r="F113" s="31">
        <f t="shared" si="4"/>
        <v>0</v>
      </c>
      <c r="G113" s="31"/>
      <c r="H113" s="31"/>
      <c r="I113" s="31">
        <v>0</v>
      </c>
      <c r="J113" s="31">
        <v>0</v>
      </c>
      <c r="K113" s="31">
        <v>0</v>
      </c>
      <c r="L113" s="31">
        <v>0</v>
      </c>
    </row>
    <row r="114" spans="1:12">
      <c r="A114" s="38">
        <v>2436</v>
      </c>
      <c r="B114" s="34" t="s">
        <v>9</v>
      </c>
      <c r="C114" s="34">
        <v>3</v>
      </c>
      <c r="D114" s="34">
        <v>6</v>
      </c>
      <c r="E114" s="6" t="s">
        <v>248</v>
      </c>
      <c r="F114" s="31">
        <f t="shared" si="4"/>
        <v>0</v>
      </c>
      <c r="G114" s="31"/>
      <c r="H114" s="31"/>
      <c r="I114" s="31">
        <v>0</v>
      </c>
      <c r="J114" s="31">
        <v>0</v>
      </c>
      <c r="K114" s="31">
        <v>0</v>
      </c>
      <c r="L114" s="31">
        <v>0</v>
      </c>
    </row>
    <row r="115" spans="1:12" ht="27">
      <c r="A115" s="38">
        <v>2440</v>
      </c>
      <c r="B115" s="34" t="s">
        <v>9</v>
      </c>
      <c r="C115" s="34">
        <v>4</v>
      </c>
      <c r="D115" s="34">
        <v>0</v>
      </c>
      <c r="E115" s="6" t="s">
        <v>249</v>
      </c>
      <c r="F115" s="31">
        <f>SUM(F117:F119)</f>
        <v>0</v>
      </c>
      <c r="G115" s="31">
        <f>SUM(G117:G119)</f>
        <v>0</v>
      </c>
      <c r="H115" s="31">
        <f>SUM(H117:H119)</f>
        <v>0</v>
      </c>
      <c r="I115" s="31">
        <v>0</v>
      </c>
      <c r="J115" s="31">
        <v>0</v>
      </c>
      <c r="K115" s="31">
        <v>0</v>
      </c>
      <c r="L115" s="31">
        <v>0</v>
      </c>
    </row>
    <row r="116" spans="1:12" s="39" customFormat="1">
      <c r="A116" s="38"/>
      <c r="B116" s="34"/>
      <c r="C116" s="34"/>
      <c r="D116" s="34"/>
      <c r="E116" s="6" t="s">
        <v>156</v>
      </c>
      <c r="F116" s="31"/>
      <c r="G116" s="31"/>
      <c r="H116" s="31"/>
      <c r="I116" s="31"/>
      <c r="J116" s="31"/>
      <c r="K116" s="31"/>
      <c r="L116" s="31"/>
    </row>
    <row r="117" spans="1:12" ht="27">
      <c r="A117" s="38">
        <v>2441</v>
      </c>
      <c r="B117" s="34" t="s">
        <v>9</v>
      </c>
      <c r="C117" s="34">
        <v>4</v>
      </c>
      <c r="D117" s="34">
        <v>1</v>
      </c>
      <c r="E117" s="6" t="s">
        <v>250</v>
      </c>
      <c r="F117" s="31">
        <f>SUM(G117:H117)</f>
        <v>0</v>
      </c>
      <c r="G117" s="31"/>
      <c r="H117" s="31"/>
      <c r="I117" s="31">
        <v>0</v>
      </c>
      <c r="J117" s="31">
        <v>0</v>
      </c>
      <c r="K117" s="31">
        <v>0</v>
      </c>
      <c r="L117" s="31">
        <v>0</v>
      </c>
    </row>
    <row r="118" spans="1:12">
      <c r="A118" s="38">
        <v>2442</v>
      </c>
      <c r="B118" s="34" t="s">
        <v>9</v>
      </c>
      <c r="C118" s="34">
        <v>4</v>
      </c>
      <c r="D118" s="34">
        <v>2</v>
      </c>
      <c r="E118" s="6" t="s">
        <v>251</v>
      </c>
      <c r="F118" s="31">
        <f>SUM(G118:H118)</f>
        <v>0</v>
      </c>
      <c r="G118" s="31"/>
      <c r="H118" s="31"/>
      <c r="I118" s="31">
        <v>0</v>
      </c>
      <c r="J118" s="31">
        <v>0</v>
      </c>
      <c r="K118" s="31">
        <v>0</v>
      </c>
      <c r="L118" s="31">
        <v>0</v>
      </c>
    </row>
    <row r="119" spans="1:12">
      <c r="A119" s="38">
        <v>2443</v>
      </c>
      <c r="B119" s="34" t="s">
        <v>9</v>
      </c>
      <c r="C119" s="34">
        <v>4</v>
      </c>
      <c r="D119" s="34">
        <v>3</v>
      </c>
      <c r="E119" s="6" t="s">
        <v>252</v>
      </c>
      <c r="F119" s="31">
        <f>SUM(G119:H119)</f>
        <v>0</v>
      </c>
      <c r="G119" s="31"/>
      <c r="H119" s="31"/>
      <c r="I119" s="31">
        <v>0</v>
      </c>
      <c r="J119" s="31">
        <v>0</v>
      </c>
      <c r="K119" s="31">
        <v>0</v>
      </c>
      <c r="L119" s="31">
        <v>0</v>
      </c>
    </row>
    <row r="120" spans="1:12">
      <c r="A120" s="38">
        <v>2450</v>
      </c>
      <c r="B120" s="34" t="s">
        <v>9</v>
      </c>
      <c r="C120" s="34">
        <v>5</v>
      </c>
      <c r="D120" s="34">
        <v>0</v>
      </c>
      <c r="E120" s="6" t="s">
        <v>253</v>
      </c>
      <c r="F120" s="31">
        <f t="shared" ref="F120:L120" si="5">+F122</f>
        <v>3597651.5290000001</v>
      </c>
      <c r="G120" s="31">
        <f t="shared" si="5"/>
        <v>434477.2</v>
      </c>
      <c r="H120" s="31">
        <f t="shared" si="5"/>
        <v>3163174.3289999999</v>
      </c>
      <c r="I120" s="31">
        <f t="shared" si="5"/>
        <v>2473278.3922285722</v>
      </c>
      <c r="J120" s="31">
        <f t="shared" si="5"/>
        <v>2711500.6857797727</v>
      </c>
      <c r="K120" s="31">
        <f t="shared" si="5"/>
        <v>3151811.0178507618</v>
      </c>
      <c r="L120" s="31">
        <f t="shared" si="5"/>
        <v>3597651.5290000001</v>
      </c>
    </row>
    <row r="121" spans="1:12" s="39" customFormat="1">
      <c r="A121" s="38"/>
      <c r="B121" s="34"/>
      <c r="C121" s="34"/>
      <c r="D121" s="34"/>
      <c r="E121" s="6" t="s">
        <v>156</v>
      </c>
      <c r="F121" s="31"/>
      <c r="G121" s="31"/>
      <c r="H121" s="31"/>
      <c r="I121" s="31"/>
      <c r="J121" s="31"/>
      <c r="K121" s="31"/>
      <c r="L121" s="31"/>
    </row>
    <row r="122" spans="1:12">
      <c r="A122" s="38">
        <v>2451</v>
      </c>
      <c r="B122" s="34" t="s">
        <v>9</v>
      </c>
      <c r="C122" s="34">
        <v>5</v>
      </c>
      <c r="D122" s="34">
        <v>1</v>
      </c>
      <c r="E122" s="6" t="s">
        <v>254</v>
      </c>
      <c r="F122" s="31">
        <f>+'4.Gorcarakan ev tntesagitakan'!H281</f>
        <v>3597651.5290000001</v>
      </c>
      <c r="G122" s="31">
        <f>+'4.Gorcarakan ev tntesagitakan'!I281</f>
        <v>434477.2</v>
      </c>
      <c r="H122" s="31">
        <f>+'4.Gorcarakan ev tntesagitakan'!J281</f>
        <v>3163174.3289999999</v>
      </c>
      <c r="I122" s="31">
        <f>+'4.Gorcarakan ev tntesagitakan'!K281</f>
        <v>2473278.3922285722</v>
      </c>
      <c r="J122" s="31">
        <f>+'4.Gorcarakan ev tntesagitakan'!L281</f>
        <v>2711500.6857797727</v>
      </c>
      <c r="K122" s="31">
        <f>+'4.Gorcarakan ev tntesagitakan'!M281</f>
        <v>3151811.0178507618</v>
      </c>
      <c r="L122" s="31">
        <f>+'4.Gorcarakan ev tntesagitakan'!N281</f>
        <v>3597651.5290000001</v>
      </c>
    </row>
    <row r="123" spans="1:12">
      <c r="A123" s="38">
        <v>2452</v>
      </c>
      <c r="B123" s="34" t="s">
        <v>9</v>
      </c>
      <c r="C123" s="34">
        <v>5</v>
      </c>
      <c r="D123" s="34">
        <v>2</v>
      </c>
      <c r="E123" s="6" t="s">
        <v>255</v>
      </c>
      <c r="F123" s="31">
        <f>SUM(G123:H123)</f>
        <v>0</v>
      </c>
      <c r="G123" s="31"/>
      <c r="H123" s="31"/>
      <c r="I123" s="31">
        <v>0</v>
      </c>
      <c r="J123" s="31">
        <v>0</v>
      </c>
      <c r="K123" s="31">
        <v>0</v>
      </c>
      <c r="L123" s="31">
        <v>0</v>
      </c>
    </row>
    <row r="124" spans="1:12">
      <c r="A124" s="38">
        <v>2453</v>
      </c>
      <c r="B124" s="34" t="s">
        <v>9</v>
      </c>
      <c r="C124" s="34">
        <v>5</v>
      </c>
      <c r="D124" s="34">
        <v>3</v>
      </c>
      <c r="E124" s="6" t="s">
        <v>256</v>
      </c>
      <c r="F124" s="31">
        <f>SUM(G124:H124)</f>
        <v>0</v>
      </c>
      <c r="G124" s="31"/>
      <c r="H124" s="31"/>
      <c r="I124" s="31">
        <v>0</v>
      </c>
      <c r="J124" s="31">
        <v>0</v>
      </c>
      <c r="K124" s="31">
        <v>0</v>
      </c>
      <c r="L124" s="31">
        <v>0</v>
      </c>
    </row>
    <row r="125" spans="1:12">
      <c r="A125" s="38">
        <v>2454</v>
      </c>
      <c r="B125" s="34" t="s">
        <v>9</v>
      </c>
      <c r="C125" s="34">
        <v>5</v>
      </c>
      <c r="D125" s="34">
        <v>4</v>
      </c>
      <c r="E125" s="6" t="s">
        <v>257</v>
      </c>
      <c r="F125" s="31">
        <f>SUM(G125:H125)</f>
        <v>0</v>
      </c>
      <c r="G125" s="31"/>
      <c r="H125" s="31"/>
      <c r="I125" s="31">
        <v>0</v>
      </c>
      <c r="J125" s="31">
        <v>0</v>
      </c>
      <c r="K125" s="31">
        <v>0</v>
      </c>
      <c r="L125" s="31">
        <v>0</v>
      </c>
    </row>
    <row r="126" spans="1:12">
      <c r="A126" s="38">
        <v>2455</v>
      </c>
      <c r="B126" s="34" t="s">
        <v>9</v>
      </c>
      <c r="C126" s="34">
        <v>5</v>
      </c>
      <c r="D126" s="34">
        <v>5</v>
      </c>
      <c r="E126" s="6" t="s">
        <v>258</v>
      </c>
      <c r="F126" s="31">
        <f>SUM(G126:H126)</f>
        <v>0</v>
      </c>
      <c r="G126" s="31"/>
      <c r="H126" s="31"/>
      <c r="I126" s="31">
        <v>0</v>
      </c>
      <c r="J126" s="31">
        <v>0</v>
      </c>
      <c r="K126" s="31">
        <v>0</v>
      </c>
      <c r="L126" s="31">
        <v>0</v>
      </c>
    </row>
    <row r="127" spans="1:12">
      <c r="A127" s="38">
        <v>2460</v>
      </c>
      <c r="B127" s="34" t="s">
        <v>9</v>
      </c>
      <c r="C127" s="34">
        <v>6</v>
      </c>
      <c r="D127" s="34">
        <v>0</v>
      </c>
      <c r="E127" s="6" t="s">
        <v>259</v>
      </c>
      <c r="F127" s="31">
        <f>SUM(F129)</f>
        <v>0</v>
      </c>
      <c r="G127" s="31">
        <f>SUM(G129)</f>
        <v>0</v>
      </c>
      <c r="H127" s="31">
        <f>SUM(H129)</f>
        <v>0</v>
      </c>
      <c r="I127" s="31">
        <v>0</v>
      </c>
      <c r="J127" s="31">
        <v>0</v>
      </c>
      <c r="K127" s="31">
        <v>0</v>
      </c>
      <c r="L127" s="31">
        <v>0</v>
      </c>
    </row>
    <row r="128" spans="1:12" s="39" customFormat="1">
      <c r="A128" s="38"/>
      <c r="B128" s="34"/>
      <c r="C128" s="34"/>
      <c r="D128" s="34"/>
      <c r="E128" s="6" t="s">
        <v>156</v>
      </c>
      <c r="F128" s="31"/>
      <c r="G128" s="31"/>
      <c r="H128" s="31"/>
      <c r="I128" s="31"/>
      <c r="J128" s="31"/>
      <c r="K128" s="31"/>
      <c r="L128" s="31"/>
    </row>
    <row r="129" spans="1:12">
      <c r="A129" s="38">
        <v>2461</v>
      </c>
      <c r="B129" s="34" t="s">
        <v>9</v>
      </c>
      <c r="C129" s="34">
        <v>6</v>
      </c>
      <c r="D129" s="34">
        <v>1</v>
      </c>
      <c r="E129" s="6" t="s">
        <v>260</v>
      </c>
      <c r="F129" s="31">
        <f>SUM(G129:H129)</f>
        <v>0</v>
      </c>
      <c r="G129" s="31"/>
      <c r="H129" s="31"/>
      <c r="I129" s="31">
        <v>0</v>
      </c>
      <c r="J129" s="31">
        <v>0</v>
      </c>
      <c r="K129" s="31">
        <v>0</v>
      </c>
      <c r="L129" s="31">
        <v>0</v>
      </c>
    </row>
    <row r="130" spans="1:12">
      <c r="A130" s="38">
        <v>2470</v>
      </c>
      <c r="B130" s="34" t="s">
        <v>9</v>
      </c>
      <c r="C130" s="34">
        <v>7</v>
      </c>
      <c r="D130" s="34">
        <v>0</v>
      </c>
      <c r="E130" s="6" t="s">
        <v>261</v>
      </c>
      <c r="F130" s="31">
        <f>SUM(F132:F135)</f>
        <v>0</v>
      </c>
      <c r="G130" s="31">
        <f>SUM(G132:G135)</f>
        <v>0</v>
      </c>
      <c r="H130" s="31">
        <f>SUM(H132:H135)</f>
        <v>0</v>
      </c>
      <c r="I130" s="31">
        <v>0</v>
      </c>
      <c r="J130" s="31">
        <v>0</v>
      </c>
      <c r="K130" s="31">
        <v>0</v>
      </c>
      <c r="L130" s="31">
        <v>0</v>
      </c>
    </row>
    <row r="131" spans="1:12" s="39" customFormat="1">
      <c r="A131" s="38"/>
      <c r="B131" s="34"/>
      <c r="C131" s="34"/>
      <c r="D131" s="34"/>
      <c r="E131" s="6" t="s">
        <v>156</v>
      </c>
      <c r="F131" s="31"/>
      <c r="G131" s="31"/>
      <c r="H131" s="31"/>
      <c r="I131" s="31"/>
      <c r="J131" s="31"/>
      <c r="K131" s="31"/>
      <c r="L131" s="31"/>
    </row>
    <row r="132" spans="1:12" ht="27">
      <c r="A132" s="38">
        <v>2471</v>
      </c>
      <c r="B132" s="34" t="s">
        <v>9</v>
      </c>
      <c r="C132" s="34">
        <v>7</v>
      </c>
      <c r="D132" s="34">
        <v>1</v>
      </c>
      <c r="E132" s="6" t="s">
        <v>262</v>
      </c>
      <c r="F132" s="31">
        <f>SUM(G132:H132)</f>
        <v>0</v>
      </c>
      <c r="G132" s="31"/>
      <c r="H132" s="31"/>
      <c r="I132" s="31">
        <v>0</v>
      </c>
      <c r="J132" s="31">
        <v>0</v>
      </c>
      <c r="K132" s="31">
        <v>0</v>
      </c>
      <c r="L132" s="31">
        <v>0</v>
      </c>
    </row>
    <row r="133" spans="1:12">
      <c r="A133" s="38">
        <v>2472</v>
      </c>
      <c r="B133" s="34" t="s">
        <v>9</v>
      </c>
      <c r="C133" s="34">
        <v>7</v>
      </c>
      <c r="D133" s="34">
        <v>2</v>
      </c>
      <c r="E133" s="6" t="s">
        <v>263</v>
      </c>
      <c r="F133" s="31">
        <f>SUM(G133:H133)</f>
        <v>0</v>
      </c>
      <c r="G133" s="31"/>
      <c r="H133" s="31"/>
      <c r="I133" s="31">
        <v>0</v>
      </c>
      <c r="J133" s="31">
        <v>0</v>
      </c>
      <c r="K133" s="31">
        <v>0</v>
      </c>
      <c r="L133" s="31">
        <v>0</v>
      </c>
    </row>
    <row r="134" spans="1:12">
      <c r="A134" s="38">
        <v>2473</v>
      </c>
      <c r="B134" s="34" t="s">
        <v>9</v>
      </c>
      <c r="C134" s="34">
        <v>7</v>
      </c>
      <c r="D134" s="34">
        <v>3</v>
      </c>
      <c r="E134" s="6" t="s">
        <v>264</v>
      </c>
      <c r="F134" s="31">
        <f>SUM(G134:H134)</f>
        <v>0</v>
      </c>
      <c r="G134" s="31"/>
      <c r="H134" s="31"/>
      <c r="I134" s="31">
        <v>0</v>
      </c>
      <c r="J134" s="31">
        <v>0</v>
      </c>
      <c r="K134" s="31">
        <v>0</v>
      </c>
      <c r="L134" s="31">
        <v>0</v>
      </c>
    </row>
    <row r="135" spans="1:12">
      <c r="A135" s="38">
        <v>2474</v>
      </c>
      <c r="B135" s="34" t="s">
        <v>9</v>
      </c>
      <c r="C135" s="34">
        <v>7</v>
      </c>
      <c r="D135" s="34">
        <v>4</v>
      </c>
      <c r="E135" s="6" t="s">
        <v>265</v>
      </c>
      <c r="F135" s="31">
        <f>SUM(G135:H135)</f>
        <v>0</v>
      </c>
      <c r="G135" s="31"/>
      <c r="H135" s="31"/>
      <c r="I135" s="31">
        <v>0</v>
      </c>
      <c r="J135" s="31">
        <v>0</v>
      </c>
      <c r="K135" s="31">
        <v>0</v>
      </c>
      <c r="L135" s="31">
        <v>0</v>
      </c>
    </row>
    <row r="136" spans="1:12" ht="27">
      <c r="A136" s="38">
        <v>2480</v>
      </c>
      <c r="B136" s="34" t="s">
        <v>9</v>
      </c>
      <c r="C136" s="34">
        <v>8</v>
      </c>
      <c r="D136" s="34">
        <v>0</v>
      </c>
      <c r="E136" s="6" t="s">
        <v>266</v>
      </c>
      <c r="F136" s="31">
        <f>SUM(F138:F144)</f>
        <v>0</v>
      </c>
      <c r="G136" s="31">
        <f>SUM(G138:G144)</f>
        <v>0</v>
      </c>
      <c r="H136" s="31">
        <f>SUM(H138:H144)</f>
        <v>0</v>
      </c>
      <c r="I136" s="31">
        <v>0</v>
      </c>
      <c r="J136" s="31">
        <v>0</v>
      </c>
      <c r="K136" s="31">
        <v>0</v>
      </c>
      <c r="L136" s="31">
        <v>0</v>
      </c>
    </row>
    <row r="137" spans="1:12" s="39" customFormat="1">
      <c r="A137" s="38"/>
      <c r="B137" s="34"/>
      <c r="C137" s="34"/>
      <c r="D137" s="34"/>
      <c r="E137" s="6" t="s">
        <v>156</v>
      </c>
      <c r="F137" s="31"/>
      <c r="G137" s="31"/>
      <c r="H137" s="31"/>
      <c r="I137" s="31"/>
      <c r="J137" s="31"/>
      <c r="K137" s="31"/>
      <c r="L137" s="31"/>
    </row>
    <row r="138" spans="1:12" ht="40.5">
      <c r="A138" s="38">
        <v>2481</v>
      </c>
      <c r="B138" s="34" t="s">
        <v>9</v>
      </c>
      <c r="C138" s="34">
        <v>8</v>
      </c>
      <c r="D138" s="34">
        <v>1</v>
      </c>
      <c r="E138" s="6" t="s">
        <v>267</v>
      </c>
      <c r="F138" s="31">
        <f t="shared" ref="F138:F144" si="6">SUM(G138:H138)</f>
        <v>0</v>
      </c>
      <c r="G138" s="31"/>
      <c r="H138" s="31"/>
      <c r="I138" s="31">
        <v>0</v>
      </c>
      <c r="J138" s="31">
        <v>0</v>
      </c>
      <c r="K138" s="31">
        <v>0</v>
      </c>
      <c r="L138" s="31">
        <v>0</v>
      </c>
    </row>
    <row r="139" spans="1:12" ht="40.5">
      <c r="A139" s="38">
        <v>2482</v>
      </c>
      <c r="B139" s="34" t="s">
        <v>9</v>
      </c>
      <c r="C139" s="34">
        <v>8</v>
      </c>
      <c r="D139" s="34">
        <v>2</v>
      </c>
      <c r="E139" s="6" t="s">
        <v>268</v>
      </c>
      <c r="F139" s="31">
        <f t="shared" si="6"/>
        <v>0</v>
      </c>
      <c r="G139" s="31"/>
      <c r="H139" s="31"/>
      <c r="I139" s="31">
        <v>0</v>
      </c>
      <c r="J139" s="31">
        <v>0</v>
      </c>
      <c r="K139" s="31">
        <v>0</v>
      </c>
      <c r="L139" s="31">
        <v>0</v>
      </c>
    </row>
    <row r="140" spans="1:12" ht="27">
      <c r="A140" s="38">
        <v>2483</v>
      </c>
      <c r="B140" s="34" t="s">
        <v>9</v>
      </c>
      <c r="C140" s="34">
        <v>8</v>
      </c>
      <c r="D140" s="34">
        <v>3</v>
      </c>
      <c r="E140" s="6" t="s">
        <v>269</v>
      </c>
      <c r="F140" s="31">
        <f t="shared" si="6"/>
        <v>0</v>
      </c>
      <c r="G140" s="31"/>
      <c r="H140" s="31"/>
      <c r="I140" s="31">
        <v>0</v>
      </c>
      <c r="J140" s="31">
        <v>0</v>
      </c>
      <c r="K140" s="31">
        <v>0</v>
      </c>
      <c r="L140" s="31">
        <v>0</v>
      </c>
    </row>
    <row r="141" spans="1:12" ht="40.5">
      <c r="A141" s="38">
        <v>2484</v>
      </c>
      <c r="B141" s="34" t="s">
        <v>9</v>
      </c>
      <c r="C141" s="34">
        <v>8</v>
      </c>
      <c r="D141" s="34">
        <v>4</v>
      </c>
      <c r="E141" s="6" t="s">
        <v>270</v>
      </c>
      <c r="F141" s="31">
        <f t="shared" si="6"/>
        <v>0</v>
      </c>
      <c r="G141" s="31"/>
      <c r="H141" s="31"/>
      <c r="I141" s="31">
        <v>0</v>
      </c>
      <c r="J141" s="31">
        <v>0</v>
      </c>
      <c r="K141" s="31">
        <v>0</v>
      </c>
      <c r="L141" s="31">
        <v>0</v>
      </c>
    </row>
    <row r="142" spans="1:12" ht="27">
      <c r="A142" s="38">
        <v>2485</v>
      </c>
      <c r="B142" s="34" t="s">
        <v>9</v>
      </c>
      <c r="C142" s="34">
        <v>8</v>
      </c>
      <c r="D142" s="34">
        <v>5</v>
      </c>
      <c r="E142" s="6" t="s">
        <v>271</v>
      </c>
      <c r="F142" s="31">
        <f t="shared" si="6"/>
        <v>0</v>
      </c>
      <c r="G142" s="31"/>
      <c r="H142" s="31"/>
      <c r="I142" s="31">
        <v>0</v>
      </c>
      <c r="J142" s="31">
        <v>0</v>
      </c>
      <c r="K142" s="31">
        <v>0</v>
      </c>
      <c r="L142" s="31">
        <v>0</v>
      </c>
    </row>
    <row r="143" spans="1:12" ht="27">
      <c r="A143" s="38">
        <v>2486</v>
      </c>
      <c r="B143" s="34" t="s">
        <v>9</v>
      </c>
      <c r="C143" s="34">
        <v>8</v>
      </c>
      <c r="D143" s="34">
        <v>6</v>
      </c>
      <c r="E143" s="6" t="s">
        <v>272</v>
      </c>
      <c r="F143" s="31">
        <f t="shared" si="6"/>
        <v>0</v>
      </c>
      <c r="G143" s="31"/>
      <c r="H143" s="31"/>
      <c r="I143" s="31">
        <v>0</v>
      </c>
      <c r="J143" s="31">
        <v>0</v>
      </c>
      <c r="K143" s="31">
        <v>0</v>
      </c>
      <c r="L143" s="31">
        <v>0</v>
      </c>
    </row>
    <row r="144" spans="1:12" ht="27">
      <c r="A144" s="38">
        <v>2487</v>
      </c>
      <c r="B144" s="34" t="s">
        <v>9</v>
      </c>
      <c r="C144" s="34">
        <v>8</v>
      </c>
      <c r="D144" s="34">
        <v>7</v>
      </c>
      <c r="E144" s="6" t="s">
        <v>273</v>
      </c>
      <c r="F144" s="31">
        <f t="shared" si="6"/>
        <v>0</v>
      </c>
      <c r="G144" s="31"/>
      <c r="H144" s="31"/>
      <c r="I144" s="31">
        <v>0</v>
      </c>
      <c r="J144" s="31">
        <v>0</v>
      </c>
      <c r="K144" s="31">
        <v>0</v>
      </c>
      <c r="L144" s="31">
        <v>0</v>
      </c>
    </row>
    <row r="145" spans="1:12" ht="27">
      <c r="A145" s="38">
        <v>2490</v>
      </c>
      <c r="B145" s="34" t="s">
        <v>9</v>
      </c>
      <c r="C145" s="34">
        <v>9</v>
      </c>
      <c r="D145" s="34">
        <v>0</v>
      </c>
      <c r="E145" s="6" t="s">
        <v>274</v>
      </c>
      <c r="F145" s="31">
        <f>+F147</f>
        <v>-850000</v>
      </c>
      <c r="G145" s="31"/>
      <c r="H145" s="31">
        <f>+H147</f>
        <v>-850000</v>
      </c>
      <c r="I145" s="31">
        <f>+I147</f>
        <v>-202380.95238095237</v>
      </c>
      <c r="J145" s="31">
        <f>+J147</f>
        <v>-350403.89913374081</v>
      </c>
      <c r="K145" s="31">
        <f>+K147</f>
        <v>-581189.12103174627</v>
      </c>
      <c r="L145" s="31">
        <f>+L147</f>
        <v>-850000</v>
      </c>
    </row>
    <row r="146" spans="1:12" s="39" customFormat="1">
      <c r="A146" s="38"/>
      <c r="B146" s="34"/>
      <c r="C146" s="34"/>
      <c r="D146" s="34"/>
      <c r="E146" s="6" t="s">
        <v>156</v>
      </c>
      <c r="F146" s="31"/>
      <c r="G146" s="31"/>
      <c r="H146" s="31"/>
      <c r="I146" s="31"/>
      <c r="J146" s="31"/>
      <c r="K146" s="31"/>
      <c r="L146" s="31"/>
    </row>
    <row r="147" spans="1:12" ht="27">
      <c r="A147" s="38">
        <v>2491</v>
      </c>
      <c r="B147" s="34" t="s">
        <v>9</v>
      </c>
      <c r="C147" s="34">
        <v>9</v>
      </c>
      <c r="D147" s="34">
        <v>1</v>
      </c>
      <c r="E147" s="6" t="s">
        <v>274</v>
      </c>
      <c r="F147" s="31">
        <f>+'4.Gorcarakan ev tntesagitakan'!H350</f>
        <v>-850000</v>
      </c>
      <c r="G147" s="31"/>
      <c r="H147" s="31">
        <f>+'4.Gorcarakan ev tntesagitakan'!J350</f>
        <v>-850000</v>
      </c>
      <c r="I147" s="31">
        <f>+'4.Gorcarakan ev tntesagitakan'!K350</f>
        <v>-202380.95238095237</v>
      </c>
      <c r="J147" s="31">
        <f>+'4.Gorcarakan ev tntesagitakan'!L350</f>
        <v>-350403.89913374081</v>
      </c>
      <c r="K147" s="31">
        <f>+'4.Gorcarakan ev tntesagitakan'!M350</f>
        <v>-581189.12103174627</v>
      </c>
      <c r="L147" s="31">
        <f>+'4.Gorcarakan ev tntesagitakan'!N350</f>
        <v>-850000</v>
      </c>
    </row>
    <row r="148" spans="1:12" s="36" customFormat="1" ht="40.5">
      <c r="A148" s="38">
        <v>2500</v>
      </c>
      <c r="B148" s="34" t="s">
        <v>10</v>
      </c>
      <c r="C148" s="34">
        <v>0</v>
      </c>
      <c r="D148" s="34">
        <v>0</v>
      </c>
      <c r="E148" s="6" t="s">
        <v>275</v>
      </c>
      <c r="F148" s="31">
        <f>+F150+F153+F156+F159+F162+F165</f>
        <v>1106415.352</v>
      </c>
      <c r="G148" s="31">
        <f t="shared" ref="G148:L148" si="7">+G150+G153+G156+G159+G162+G165</f>
        <v>970259.80299999996</v>
      </c>
      <c r="H148" s="31">
        <f t="shared" si="7"/>
        <v>136155.549</v>
      </c>
      <c r="I148" s="31">
        <f t="shared" si="7"/>
        <v>340175.39771390485</v>
      </c>
      <c r="J148" s="31">
        <f t="shared" si="7"/>
        <v>583168.45752380998</v>
      </c>
      <c r="K148" s="31">
        <f t="shared" si="7"/>
        <v>840116.40455080441</v>
      </c>
      <c r="L148" s="31">
        <f t="shared" si="7"/>
        <v>1106415.352</v>
      </c>
    </row>
    <row r="149" spans="1:12">
      <c r="A149" s="33"/>
      <c r="B149" s="34"/>
      <c r="C149" s="34"/>
      <c r="D149" s="34"/>
      <c r="E149" s="6" t="s">
        <v>154</v>
      </c>
      <c r="F149" s="31"/>
      <c r="G149" s="31"/>
      <c r="H149" s="31"/>
      <c r="I149" s="31"/>
      <c r="J149" s="31"/>
      <c r="K149" s="31"/>
      <c r="L149" s="31"/>
    </row>
    <row r="150" spans="1:12">
      <c r="A150" s="38">
        <v>2510</v>
      </c>
      <c r="B150" s="34" t="s">
        <v>10</v>
      </c>
      <c r="C150" s="34">
        <v>1</v>
      </c>
      <c r="D150" s="34">
        <v>0</v>
      </c>
      <c r="E150" s="6" t="s">
        <v>276</v>
      </c>
      <c r="F150" s="31">
        <f>+F152</f>
        <v>782484.15999999992</v>
      </c>
      <c r="G150" s="31">
        <f t="shared" ref="G150:L150" si="8">+G152</f>
        <v>780484.15999999992</v>
      </c>
      <c r="H150" s="31">
        <f t="shared" si="8"/>
        <v>2000</v>
      </c>
      <c r="I150" s="31">
        <f t="shared" si="8"/>
        <v>186408.68095238105</v>
      </c>
      <c r="J150" s="31">
        <f t="shared" si="8"/>
        <v>371220.28158730204</v>
      </c>
      <c r="K150" s="31">
        <f t="shared" si="8"/>
        <v>571180.42753493134</v>
      </c>
      <c r="L150" s="31">
        <f t="shared" si="8"/>
        <v>782484.15999999992</v>
      </c>
    </row>
    <row r="151" spans="1:12" s="39" customFormat="1">
      <c r="A151" s="38"/>
      <c r="B151" s="34"/>
      <c r="C151" s="34"/>
      <c r="D151" s="34"/>
      <c r="E151" s="6" t="s">
        <v>156</v>
      </c>
      <c r="F151" s="31"/>
      <c r="G151" s="31"/>
      <c r="H151" s="31"/>
      <c r="I151" s="31"/>
      <c r="J151" s="31"/>
      <c r="K151" s="31"/>
      <c r="L151" s="31"/>
    </row>
    <row r="152" spans="1:12">
      <c r="A152" s="38">
        <v>2511</v>
      </c>
      <c r="B152" s="34" t="s">
        <v>10</v>
      </c>
      <c r="C152" s="34">
        <v>1</v>
      </c>
      <c r="D152" s="34">
        <v>1</v>
      </c>
      <c r="E152" s="6" t="s">
        <v>276</v>
      </c>
      <c r="F152" s="31">
        <f>+'4.Gorcarakan ev tntesagitakan'!H358</f>
        <v>782484.15999999992</v>
      </c>
      <c r="G152" s="31">
        <f>+'4.Gorcarakan ev tntesagitakan'!I358</f>
        <v>780484.15999999992</v>
      </c>
      <c r="H152" s="31">
        <f>+'4.Gorcarakan ev tntesagitakan'!J358</f>
        <v>2000</v>
      </c>
      <c r="I152" s="31">
        <f>+'4.Gorcarakan ev tntesagitakan'!K358</f>
        <v>186408.68095238105</v>
      </c>
      <c r="J152" s="31">
        <f>+'4.Gorcarakan ev tntesagitakan'!L358</f>
        <v>371220.28158730204</v>
      </c>
      <c r="K152" s="31">
        <f>+'4.Gorcarakan ev tntesagitakan'!M358</f>
        <v>571180.42753493134</v>
      </c>
      <c r="L152" s="31">
        <f>+'4.Gorcarakan ev tntesagitakan'!N358</f>
        <v>782484.15999999992</v>
      </c>
    </row>
    <row r="153" spans="1:12">
      <c r="A153" s="38">
        <v>2520</v>
      </c>
      <c r="B153" s="34" t="s">
        <v>10</v>
      </c>
      <c r="C153" s="34">
        <v>2</v>
      </c>
      <c r="D153" s="34">
        <v>0</v>
      </c>
      <c r="E153" s="6" t="s">
        <v>277</v>
      </c>
      <c r="F153" s="31">
        <f>SUM(F155)</f>
        <v>0</v>
      </c>
      <c r="G153" s="31">
        <f>SUM(G155)</f>
        <v>0</v>
      </c>
      <c r="H153" s="31">
        <f>SUM(H155)</f>
        <v>0</v>
      </c>
      <c r="I153" s="31">
        <v>0</v>
      </c>
      <c r="J153" s="31">
        <v>0</v>
      </c>
      <c r="K153" s="31">
        <v>0</v>
      </c>
      <c r="L153" s="31">
        <v>0</v>
      </c>
    </row>
    <row r="154" spans="1:12" s="39" customFormat="1">
      <c r="A154" s="38"/>
      <c r="B154" s="34"/>
      <c r="C154" s="34"/>
      <c r="D154" s="34"/>
      <c r="E154" s="6" t="s">
        <v>156</v>
      </c>
      <c r="F154" s="31"/>
      <c r="G154" s="31"/>
      <c r="H154" s="31"/>
      <c r="I154" s="31"/>
      <c r="J154" s="31"/>
      <c r="K154" s="31"/>
      <c r="L154" s="31"/>
    </row>
    <row r="155" spans="1:12">
      <c r="A155" s="38">
        <v>2521</v>
      </c>
      <c r="B155" s="34" t="s">
        <v>10</v>
      </c>
      <c r="C155" s="34">
        <v>2</v>
      </c>
      <c r="D155" s="34">
        <v>1</v>
      </c>
      <c r="E155" s="6" t="s">
        <v>278</v>
      </c>
      <c r="F155" s="31">
        <f>SUM(G155:H155)</f>
        <v>0</v>
      </c>
      <c r="G155" s="31"/>
      <c r="H155" s="31"/>
      <c r="I155" s="31">
        <v>0</v>
      </c>
      <c r="J155" s="31">
        <v>0</v>
      </c>
      <c r="K155" s="31">
        <v>0</v>
      </c>
      <c r="L155" s="31">
        <v>0</v>
      </c>
    </row>
    <row r="156" spans="1:12">
      <c r="A156" s="38">
        <v>2530</v>
      </c>
      <c r="B156" s="34" t="s">
        <v>10</v>
      </c>
      <c r="C156" s="34">
        <v>3</v>
      </c>
      <c r="D156" s="34">
        <v>0</v>
      </c>
      <c r="E156" s="6" t="s">
        <v>279</v>
      </c>
      <c r="F156" s="31">
        <f>SUM(F158)</f>
        <v>0</v>
      </c>
      <c r="G156" s="31">
        <f>SUM(G158)</f>
        <v>0</v>
      </c>
      <c r="H156" s="31">
        <f>SUM(H158)</f>
        <v>0</v>
      </c>
      <c r="I156" s="31">
        <v>0</v>
      </c>
      <c r="J156" s="31">
        <v>0</v>
      </c>
      <c r="K156" s="31">
        <v>0</v>
      </c>
      <c r="L156" s="31">
        <v>0</v>
      </c>
    </row>
    <row r="157" spans="1:12" s="39" customFormat="1">
      <c r="A157" s="38"/>
      <c r="B157" s="34"/>
      <c r="C157" s="34"/>
      <c r="D157" s="34"/>
      <c r="E157" s="6" t="s">
        <v>156</v>
      </c>
      <c r="F157" s="31"/>
      <c r="G157" s="31"/>
      <c r="H157" s="31"/>
      <c r="I157" s="31"/>
      <c r="J157" s="31"/>
      <c r="K157" s="31"/>
      <c r="L157" s="31"/>
    </row>
    <row r="158" spans="1:12">
      <c r="A158" s="38">
        <v>2531</v>
      </c>
      <c r="B158" s="34" t="s">
        <v>10</v>
      </c>
      <c r="C158" s="34">
        <v>3</v>
      </c>
      <c r="D158" s="34">
        <v>1</v>
      </c>
      <c r="E158" s="6" t="s">
        <v>279</v>
      </c>
      <c r="F158" s="31">
        <f>SUM(G158:H158)</f>
        <v>0</v>
      </c>
      <c r="G158" s="31"/>
      <c r="H158" s="31"/>
      <c r="I158" s="31">
        <v>0</v>
      </c>
      <c r="J158" s="31">
        <v>0</v>
      </c>
      <c r="K158" s="31">
        <v>0</v>
      </c>
      <c r="L158" s="31">
        <v>0</v>
      </c>
    </row>
    <row r="159" spans="1:12" ht="27">
      <c r="A159" s="38">
        <v>2540</v>
      </c>
      <c r="B159" s="34" t="s">
        <v>10</v>
      </c>
      <c r="C159" s="34">
        <v>4</v>
      </c>
      <c r="D159" s="34">
        <v>0</v>
      </c>
      <c r="E159" s="6" t="s">
        <v>280</v>
      </c>
      <c r="F159" s="31">
        <f>SUM(F161)</f>
        <v>0</v>
      </c>
      <c r="G159" s="31">
        <f>SUM(G161)</f>
        <v>0</v>
      </c>
      <c r="H159" s="31">
        <f>SUM(H161)</f>
        <v>0</v>
      </c>
      <c r="I159" s="31">
        <v>0</v>
      </c>
      <c r="J159" s="31">
        <v>0</v>
      </c>
      <c r="K159" s="31">
        <v>0</v>
      </c>
      <c r="L159" s="31">
        <v>0</v>
      </c>
    </row>
    <row r="160" spans="1:12" s="39" customFormat="1">
      <c r="A160" s="38"/>
      <c r="B160" s="34"/>
      <c r="C160" s="34"/>
      <c r="D160" s="34"/>
      <c r="E160" s="6" t="s">
        <v>156</v>
      </c>
      <c r="F160" s="31"/>
      <c r="G160" s="31"/>
      <c r="H160" s="31"/>
      <c r="I160" s="31"/>
      <c r="J160" s="31"/>
      <c r="K160" s="31"/>
      <c r="L160" s="31"/>
    </row>
    <row r="161" spans="1:12" ht="27">
      <c r="A161" s="38">
        <v>2541</v>
      </c>
      <c r="B161" s="34" t="s">
        <v>10</v>
      </c>
      <c r="C161" s="34">
        <v>4</v>
      </c>
      <c r="D161" s="34">
        <v>1</v>
      </c>
      <c r="E161" s="6" t="s">
        <v>280</v>
      </c>
      <c r="F161" s="31">
        <f>SUM(G161:H161)</f>
        <v>0</v>
      </c>
      <c r="G161" s="31"/>
      <c r="H161" s="31"/>
      <c r="I161" s="31">
        <v>0</v>
      </c>
      <c r="J161" s="31">
        <v>0</v>
      </c>
      <c r="K161" s="31">
        <v>0</v>
      </c>
      <c r="L161" s="31">
        <v>0</v>
      </c>
    </row>
    <row r="162" spans="1:12" ht="27">
      <c r="A162" s="38">
        <v>2550</v>
      </c>
      <c r="B162" s="34" t="s">
        <v>10</v>
      </c>
      <c r="C162" s="34">
        <v>5</v>
      </c>
      <c r="D162" s="34">
        <v>0</v>
      </c>
      <c r="E162" s="6" t="s">
        <v>281</v>
      </c>
      <c r="F162" s="31">
        <f>SUM(F164)</f>
        <v>0</v>
      </c>
      <c r="G162" s="31">
        <f>SUM(G164)</f>
        <v>0</v>
      </c>
      <c r="H162" s="31">
        <f>SUM(H164)</f>
        <v>0</v>
      </c>
      <c r="I162" s="31">
        <v>0</v>
      </c>
      <c r="J162" s="31">
        <v>0</v>
      </c>
      <c r="K162" s="31">
        <v>0</v>
      </c>
      <c r="L162" s="31">
        <v>0</v>
      </c>
    </row>
    <row r="163" spans="1:12" s="39" customFormat="1">
      <c r="A163" s="38"/>
      <c r="B163" s="34"/>
      <c r="C163" s="34"/>
      <c r="D163" s="34"/>
      <c r="E163" s="6" t="s">
        <v>156</v>
      </c>
      <c r="F163" s="31"/>
      <c r="G163" s="31"/>
      <c r="H163" s="31"/>
      <c r="I163" s="31"/>
      <c r="J163" s="31"/>
      <c r="K163" s="31"/>
      <c r="L163" s="31"/>
    </row>
    <row r="164" spans="1:12" ht="27">
      <c r="A164" s="38">
        <v>2551</v>
      </c>
      <c r="B164" s="34" t="s">
        <v>10</v>
      </c>
      <c r="C164" s="34">
        <v>5</v>
      </c>
      <c r="D164" s="34">
        <v>1</v>
      </c>
      <c r="E164" s="6" t="s">
        <v>281</v>
      </c>
      <c r="F164" s="31">
        <f>SUM(G164:H164)</f>
        <v>0</v>
      </c>
      <c r="G164" s="31"/>
      <c r="H164" s="31"/>
      <c r="I164" s="31">
        <v>0</v>
      </c>
      <c r="J164" s="31">
        <v>0</v>
      </c>
      <c r="K164" s="31">
        <v>0</v>
      </c>
      <c r="L164" s="31">
        <v>0</v>
      </c>
    </row>
    <row r="165" spans="1:12" ht="27">
      <c r="A165" s="38">
        <v>2560</v>
      </c>
      <c r="B165" s="34" t="s">
        <v>10</v>
      </c>
      <c r="C165" s="34">
        <v>6</v>
      </c>
      <c r="D165" s="34">
        <v>0</v>
      </c>
      <c r="E165" s="6" t="s">
        <v>282</v>
      </c>
      <c r="F165" s="31">
        <f>+F167</f>
        <v>323931.19200000004</v>
      </c>
      <c r="G165" s="31">
        <f t="shared" ref="G165:L165" si="9">+G167</f>
        <v>189775.64300000001</v>
      </c>
      <c r="H165" s="31">
        <f t="shared" si="9"/>
        <v>134155.549</v>
      </c>
      <c r="I165" s="31">
        <f t="shared" si="9"/>
        <v>153766.7167615238</v>
      </c>
      <c r="J165" s="31">
        <f t="shared" si="9"/>
        <v>211948.17593650793</v>
      </c>
      <c r="K165" s="31">
        <f t="shared" si="9"/>
        <v>268935.97701587307</v>
      </c>
      <c r="L165" s="31">
        <f t="shared" si="9"/>
        <v>323931.19200000004</v>
      </c>
    </row>
    <row r="166" spans="1:12" s="39" customFormat="1">
      <c r="A166" s="38"/>
      <c r="B166" s="34"/>
      <c r="C166" s="34"/>
      <c r="D166" s="34"/>
      <c r="E166" s="6" t="s">
        <v>156</v>
      </c>
      <c r="F166" s="31"/>
      <c r="G166" s="31"/>
      <c r="H166" s="31"/>
      <c r="I166" s="31"/>
      <c r="J166" s="31"/>
      <c r="K166" s="31"/>
      <c r="L166" s="31"/>
    </row>
    <row r="167" spans="1:12" ht="27">
      <c r="A167" s="38">
        <v>2561</v>
      </c>
      <c r="B167" s="34" t="s">
        <v>10</v>
      </c>
      <c r="C167" s="34">
        <v>6</v>
      </c>
      <c r="D167" s="34">
        <v>1</v>
      </c>
      <c r="E167" s="6" t="s">
        <v>282</v>
      </c>
      <c r="F167" s="31">
        <f>+'4.Gorcarakan ev tntesagitakan'!H398</f>
        <v>323931.19200000004</v>
      </c>
      <c r="G167" s="31">
        <f>+'4.Gorcarakan ev tntesagitakan'!I398</f>
        <v>189775.64300000001</v>
      </c>
      <c r="H167" s="31">
        <f>+'4.Gorcarakan ev tntesagitakan'!J398</f>
        <v>134155.549</v>
      </c>
      <c r="I167" s="31">
        <f>+'4.Gorcarakan ev tntesagitakan'!K398</f>
        <v>153766.7167615238</v>
      </c>
      <c r="J167" s="31">
        <f>+'4.Gorcarakan ev tntesagitakan'!L398</f>
        <v>211948.17593650793</v>
      </c>
      <c r="K167" s="31">
        <f>+'4.Gorcarakan ev tntesagitakan'!M398</f>
        <v>268935.97701587307</v>
      </c>
      <c r="L167" s="31">
        <f>+'4.Gorcarakan ev tntesagitakan'!N398</f>
        <v>323931.19200000004</v>
      </c>
    </row>
    <row r="168" spans="1:12" s="36" customFormat="1" ht="54">
      <c r="A168" s="38">
        <v>2600</v>
      </c>
      <c r="B168" s="34" t="s">
        <v>11</v>
      </c>
      <c r="C168" s="34">
        <v>0</v>
      </c>
      <c r="D168" s="34">
        <v>0</v>
      </c>
      <c r="E168" s="6" t="s">
        <v>283</v>
      </c>
      <c r="F168" s="31">
        <f>+F170+F173+F176+F179+F182+F185</f>
        <v>1271278.0077999989</v>
      </c>
      <c r="G168" s="31">
        <f t="shared" ref="G168:L168" si="10">+G170+G173+G176+G179+G182+G185</f>
        <v>472537.978</v>
      </c>
      <c r="H168" s="31">
        <f t="shared" si="10"/>
        <v>798740.02979999885</v>
      </c>
      <c r="I168" s="31">
        <f t="shared" si="10"/>
        <v>606935.96132769086</v>
      </c>
      <c r="J168" s="31">
        <f t="shared" si="10"/>
        <v>889295.2311823417</v>
      </c>
      <c r="K168" s="31">
        <f t="shared" si="10"/>
        <v>1096914.4824730498</v>
      </c>
      <c r="L168" s="31">
        <f t="shared" si="10"/>
        <v>1271278.0077999989</v>
      </c>
    </row>
    <row r="169" spans="1:12">
      <c r="A169" s="33"/>
      <c r="B169" s="34"/>
      <c r="C169" s="34"/>
      <c r="D169" s="34"/>
      <c r="E169" s="6" t="s">
        <v>154</v>
      </c>
      <c r="F169" s="31"/>
      <c r="G169" s="31"/>
      <c r="H169" s="31"/>
      <c r="I169" s="31"/>
      <c r="J169" s="31"/>
      <c r="K169" s="31"/>
      <c r="L169" s="31"/>
    </row>
    <row r="170" spans="1:12">
      <c r="A170" s="38">
        <v>2610</v>
      </c>
      <c r="B170" s="34" t="s">
        <v>11</v>
      </c>
      <c r="C170" s="34">
        <v>1</v>
      </c>
      <c r="D170" s="34">
        <v>0</v>
      </c>
      <c r="E170" s="6" t="s">
        <v>284</v>
      </c>
      <c r="F170" s="31">
        <f>SUM(F172)</f>
        <v>0</v>
      </c>
      <c r="G170" s="31">
        <f>SUM(G172)</f>
        <v>0</v>
      </c>
      <c r="H170" s="31">
        <f>SUM(H172)</f>
        <v>0</v>
      </c>
      <c r="I170" s="31">
        <v>0</v>
      </c>
      <c r="J170" s="31">
        <v>0</v>
      </c>
      <c r="K170" s="31">
        <v>0</v>
      </c>
      <c r="L170" s="31">
        <v>0</v>
      </c>
    </row>
    <row r="171" spans="1:12" s="39" customFormat="1">
      <c r="A171" s="38"/>
      <c r="B171" s="34"/>
      <c r="C171" s="34"/>
      <c r="D171" s="34"/>
      <c r="E171" s="6" t="s">
        <v>156</v>
      </c>
      <c r="F171" s="31"/>
      <c r="G171" s="31"/>
      <c r="H171" s="31"/>
      <c r="I171" s="31"/>
      <c r="J171" s="31"/>
      <c r="K171" s="31"/>
      <c r="L171" s="31"/>
    </row>
    <row r="172" spans="1:12">
      <c r="A172" s="38">
        <v>2611</v>
      </c>
      <c r="B172" s="34" t="s">
        <v>11</v>
      </c>
      <c r="C172" s="34">
        <v>1</v>
      </c>
      <c r="D172" s="34">
        <v>1</v>
      </c>
      <c r="E172" s="6" t="s">
        <v>285</v>
      </c>
      <c r="F172" s="31">
        <f>SUM(G172:H172)</f>
        <v>0</v>
      </c>
      <c r="G172" s="31"/>
      <c r="H172" s="31"/>
      <c r="I172" s="31">
        <v>0</v>
      </c>
      <c r="J172" s="31">
        <v>0</v>
      </c>
      <c r="K172" s="31">
        <v>0</v>
      </c>
      <c r="L172" s="31">
        <v>0</v>
      </c>
    </row>
    <row r="173" spans="1:12">
      <c r="A173" s="38">
        <v>2620</v>
      </c>
      <c r="B173" s="34" t="s">
        <v>11</v>
      </c>
      <c r="C173" s="34">
        <v>2</v>
      </c>
      <c r="D173" s="34">
        <v>0</v>
      </c>
      <c r="E173" s="6" t="s">
        <v>286</v>
      </c>
      <c r="F173" s="31">
        <f>SUM(F175)</f>
        <v>0</v>
      </c>
      <c r="G173" s="31">
        <f>SUM(G175)</f>
        <v>0</v>
      </c>
      <c r="H173" s="31">
        <f>SUM(H175)</f>
        <v>0</v>
      </c>
      <c r="I173" s="31">
        <v>0</v>
      </c>
      <c r="J173" s="31">
        <v>0</v>
      </c>
      <c r="K173" s="31">
        <v>0</v>
      </c>
      <c r="L173" s="31">
        <v>0</v>
      </c>
    </row>
    <row r="174" spans="1:12" s="39" customFormat="1">
      <c r="A174" s="38"/>
      <c r="B174" s="34"/>
      <c r="C174" s="34"/>
      <c r="D174" s="34"/>
      <c r="E174" s="6" t="s">
        <v>156</v>
      </c>
      <c r="F174" s="31"/>
      <c r="G174" s="31"/>
      <c r="H174" s="31"/>
      <c r="I174" s="31"/>
      <c r="J174" s="31"/>
      <c r="K174" s="31"/>
      <c r="L174" s="31"/>
    </row>
    <row r="175" spans="1:12">
      <c r="A175" s="38">
        <v>2621</v>
      </c>
      <c r="B175" s="34" t="s">
        <v>11</v>
      </c>
      <c r="C175" s="34">
        <v>2</v>
      </c>
      <c r="D175" s="34">
        <v>1</v>
      </c>
      <c r="E175" s="6" t="s">
        <v>286</v>
      </c>
      <c r="F175" s="31">
        <f>SUM(G175:H175)</f>
        <v>0</v>
      </c>
      <c r="G175" s="31"/>
      <c r="H175" s="31"/>
      <c r="I175" s="31">
        <v>0</v>
      </c>
      <c r="J175" s="31">
        <v>0</v>
      </c>
      <c r="K175" s="31">
        <v>0</v>
      </c>
      <c r="L175" s="31">
        <v>0</v>
      </c>
    </row>
    <row r="176" spans="1:12">
      <c r="A176" s="38">
        <v>2630</v>
      </c>
      <c r="B176" s="34" t="s">
        <v>11</v>
      </c>
      <c r="C176" s="34">
        <v>3</v>
      </c>
      <c r="D176" s="34">
        <v>0</v>
      </c>
      <c r="E176" s="6" t="s">
        <v>287</v>
      </c>
      <c r="F176" s="31">
        <f>SUM(F178)</f>
        <v>0</v>
      </c>
      <c r="G176" s="31">
        <f>SUM(G178)</f>
        <v>0</v>
      </c>
      <c r="H176" s="31">
        <f>SUM(H178)</f>
        <v>0</v>
      </c>
      <c r="I176" s="31">
        <v>0</v>
      </c>
      <c r="J176" s="31">
        <v>0</v>
      </c>
      <c r="K176" s="31">
        <v>0</v>
      </c>
      <c r="L176" s="31">
        <v>0</v>
      </c>
    </row>
    <row r="177" spans="1:12" s="39" customFormat="1">
      <c r="A177" s="38"/>
      <c r="B177" s="34"/>
      <c r="C177" s="34"/>
      <c r="D177" s="34"/>
      <c r="E177" s="6" t="s">
        <v>156</v>
      </c>
      <c r="F177" s="31"/>
      <c r="G177" s="31"/>
      <c r="H177" s="31"/>
      <c r="I177" s="31"/>
      <c r="J177" s="31"/>
      <c r="K177" s="31"/>
      <c r="L177" s="31"/>
    </row>
    <row r="178" spans="1:12">
      <c r="A178" s="38">
        <v>2631</v>
      </c>
      <c r="B178" s="34" t="s">
        <v>11</v>
      </c>
      <c r="C178" s="34">
        <v>3</v>
      </c>
      <c r="D178" s="34">
        <v>1</v>
      </c>
      <c r="E178" s="6" t="s">
        <v>288</v>
      </c>
      <c r="F178" s="31">
        <f>SUM(G178:H178)</f>
        <v>0</v>
      </c>
      <c r="G178" s="31"/>
      <c r="H178" s="31"/>
      <c r="I178" s="31">
        <v>0</v>
      </c>
      <c r="J178" s="31">
        <v>0</v>
      </c>
      <c r="K178" s="31">
        <v>0</v>
      </c>
      <c r="L178" s="31">
        <v>0</v>
      </c>
    </row>
    <row r="179" spans="1:12">
      <c r="A179" s="38">
        <v>2640</v>
      </c>
      <c r="B179" s="34" t="s">
        <v>11</v>
      </c>
      <c r="C179" s="34">
        <v>4</v>
      </c>
      <c r="D179" s="34">
        <v>0</v>
      </c>
      <c r="E179" s="6" t="s">
        <v>289</v>
      </c>
      <c r="F179" s="31">
        <f>+F181</f>
        <v>241361.40299999999</v>
      </c>
      <c r="G179" s="31">
        <f t="shared" ref="G179:L179" si="11">+G181</f>
        <v>229361.40299999999</v>
      </c>
      <c r="H179" s="31">
        <f t="shared" si="11"/>
        <v>12000</v>
      </c>
      <c r="I179" s="31">
        <f t="shared" si="11"/>
        <v>86369.394517786597</v>
      </c>
      <c r="J179" s="31">
        <f t="shared" si="11"/>
        <v>164316.12709980231</v>
      </c>
      <c r="K179" s="31">
        <f t="shared" si="11"/>
        <v>201756.26775000032</v>
      </c>
      <c r="L179" s="31">
        <f t="shared" si="11"/>
        <v>241361.40299999999</v>
      </c>
    </row>
    <row r="180" spans="1:12" s="39" customFormat="1">
      <c r="A180" s="38"/>
      <c r="B180" s="34"/>
      <c r="C180" s="34"/>
      <c r="D180" s="34"/>
      <c r="E180" s="6" t="s">
        <v>156</v>
      </c>
      <c r="F180" s="31"/>
      <c r="G180" s="31"/>
      <c r="H180" s="31"/>
      <c r="I180" s="31"/>
      <c r="J180" s="31"/>
      <c r="K180" s="31"/>
      <c r="L180" s="31"/>
    </row>
    <row r="181" spans="1:12">
      <c r="A181" s="38">
        <v>2641</v>
      </c>
      <c r="B181" s="34" t="s">
        <v>11</v>
      </c>
      <c r="C181" s="34">
        <v>4</v>
      </c>
      <c r="D181" s="34">
        <v>1</v>
      </c>
      <c r="E181" s="6" t="s">
        <v>290</v>
      </c>
      <c r="F181" s="31">
        <f>+'4.Gorcarakan ev tntesagitakan'!H433</f>
        <v>241361.40299999999</v>
      </c>
      <c r="G181" s="31">
        <f>+'4.Gorcarakan ev tntesagitakan'!I433</f>
        <v>229361.40299999999</v>
      </c>
      <c r="H181" s="31">
        <f>+'4.Gorcarakan ev tntesagitakan'!J433</f>
        <v>12000</v>
      </c>
      <c r="I181" s="31">
        <f>+'4.Gorcarakan ev tntesagitakan'!K433</f>
        <v>86369.394517786597</v>
      </c>
      <c r="J181" s="31">
        <f>+'4.Gorcarakan ev tntesagitakan'!L433</f>
        <v>164316.12709980231</v>
      </c>
      <c r="K181" s="31">
        <f>+'4.Gorcarakan ev tntesagitakan'!M433</f>
        <v>201756.26775000032</v>
      </c>
      <c r="L181" s="31">
        <f>+'4.Gorcarakan ev tntesagitakan'!N433</f>
        <v>241361.40299999999</v>
      </c>
    </row>
    <row r="182" spans="1:12" ht="40.5">
      <c r="A182" s="38">
        <v>2650</v>
      </c>
      <c r="B182" s="34" t="s">
        <v>11</v>
      </c>
      <c r="C182" s="34">
        <v>5</v>
      </c>
      <c r="D182" s="34">
        <v>0</v>
      </c>
      <c r="E182" s="6" t="s">
        <v>291</v>
      </c>
      <c r="F182" s="31">
        <f>SUM(F184)</f>
        <v>0</v>
      </c>
      <c r="G182" s="31">
        <f>SUM(G184)</f>
        <v>0</v>
      </c>
      <c r="H182" s="31">
        <f>SUM(H184)</f>
        <v>0</v>
      </c>
      <c r="I182" s="31">
        <v>0</v>
      </c>
      <c r="J182" s="31">
        <v>0</v>
      </c>
      <c r="K182" s="31">
        <v>0</v>
      </c>
      <c r="L182" s="31">
        <v>0</v>
      </c>
    </row>
    <row r="183" spans="1:12" s="39" customFormat="1">
      <c r="A183" s="38"/>
      <c r="B183" s="34"/>
      <c r="C183" s="34"/>
      <c r="D183" s="34"/>
      <c r="E183" s="6" t="s">
        <v>156</v>
      </c>
      <c r="F183" s="31"/>
      <c r="G183" s="31"/>
      <c r="H183" s="31"/>
      <c r="I183" s="31"/>
      <c r="J183" s="31"/>
      <c r="K183" s="31"/>
      <c r="L183" s="31"/>
    </row>
    <row r="184" spans="1:12" ht="40.5">
      <c r="A184" s="38">
        <v>2651</v>
      </c>
      <c r="B184" s="34" t="s">
        <v>11</v>
      </c>
      <c r="C184" s="34">
        <v>5</v>
      </c>
      <c r="D184" s="34">
        <v>1</v>
      </c>
      <c r="E184" s="6" t="s">
        <v>291</v>
      </c>
      <c r="F184" s="31">
        <f>SUM(G184:H184)</f>
        <v>0</v>
      </c>
      <c r="G184" s="31"/>
      <c r="H184" s="31"/>
      <c r="I184" s="31">
        <v>0</v>
      </c>
      <c r="J184" s="31">
        <v>0</v>
      </c>
      <c r="K184" s="31">
        <v>0</v>
      </c>
      <c r="L184" s="31">
        <v>0</v>
      </c>
    </row>
    <row r="185" spans="1:12" ht="27">
      <c r="A185" s="38">
        <v>2660</v>
      </c>
      <c r="B185" s="34" t="s">
        <v>11</v>
      </c>
      <c r="C185" s="34">
        <v>6</v>
      </c>
      <c r="D185" s="34">
        <v>0</v>
      </c>
      <c r="E185" s="6" t="s">
        <v>292</v>
      </c>
      <c r="F185" s="31">
        <f>+F187</f>
        <v>1029916.6047999988</v>
      </c>
      <c r="G185" s="31">
        <f t="shared" ref="G185:L185" si="12">+G187</f>
        <v>243176.57499999998</v>
      </c>
      <c r="H185" s="31">
        <f t="shared" si="12"/>
        <v>786740.02979999885</v>
      </c>
      <c r="I185" s="31">
        <f t="shared" si="12"/>
        <v>520566.5668099043</v>
      </c>
      <c r="J185" s="31">
        <f t="shared" si="12"/>
        <v>724979.10408253933</v>
      </c>
      <c r="K185" s="31">
        <f t="shared" si="12"/>
        <v>895158.21472304955</v>
      </c>
      <c r="L185" s="31">
        <f t="shared" si="12"/>
        <v>1029916.6047999988</v>
      </c>
    </row>
    <row r="186" spans="1:12" s="39" customFormat="1">
      <c r="A186" s="38"/>
      <c r="B186" s="34"/>
      <c r="C186" s="34"/>
      <c r="D186" s="34"/>
      <c r="E186" s="6" t="s">
        <v>156</v>
      </c>
      <c r="F186" s="31"/>
      <c r="G186" s="31"/>
      <c r="H186" s="31"/>
      <c r="I186" s="31"/>
      <c r="J186" s="31"/>
      <c r="K186" s="31"/>
      <c r="L186" s="31"/>
    </row>
    <row r="187" spans="1:12" ht="27">
      <c r="A187" s="38">
        <v>2661</v>
      </c>
      <c r="B187" s="34" t="s">
        <v>11</v>
      </c>
      <c r="C187" s="34">
        <v>6</v>
      </c>
      <c r="D187" s="34">
        <v>1</v>
      </c>
      <c r="E187" s="6" t="s">
        <v>292</v>
      </c>
      <c r="F187" s="31">
        <f>+'4.Gorcarakan ev tntesagitakan'!H449</f>
        <v>1029916.6047999988</v>
      </c>
      <c r="G187" s="31">
        <f>+'4.Gorcarakan ev tntesagitakan'!I449</f>
        <v>243176.57499999998</v>
      </c>
      <c r="H187" s="31">
        <f>+'4.Gorcarakan ev tntesagitakan'!J449</f>
        <v>786740.02979999885</v>
      </c>
      <c r="I187" s="31">
        <f>+'4.Gorcarakan ev tntesagitakan'!K449</f>
        <v>520566.5668099043</v>
      </c>
      <c r="J187" s="31">
        <f>+'4.Gorcarakan ev tntesagitakan'!L449</f>
        <v>724979.10408253933</v>
      </c>
      <c r="K187" s="31">
        <f>+'4.Gorcarakan ev tntesagitakan'!M449</f>
        <v>895158.21472304955</v>
      </c>
      <c r="L187" s="31">
        <f>+'4.Gorcarakan ev tntesagitakan'!N449</f>
        <v>1029916.6047999988</v>
      </c>
    </row>
    <row r="188" spans="1:12" s="36" customFormat="1" ht="40.5">
      <c r="A188" s="38">
        <v>2700</v>
      </c>
      <c r="B188" s="34" t="s">
        <v>12</v>
      </c>
      <c r="C188" s="34">
        <v>0</v>
      </c>
      <c r="D188" s="34">
        <v>0</v>
      </c>
      <c r="E188" s="6" t="s">
        <v>293</v>
      </c>
      <c r="F188" s="31">
        <f>SUM(F190,F195,F201,F207,F210,F213)</f>
        <v>0</v>
      </c>
      <c r="G188" s="31">
        <f>SUM(G190,G195,G201,G207,G210,G213)</f>
        <v>0</v>
      </c>
      <c r="H188" s="31">
        <f>SUM(H190,H195,H201,H207,H210,H213)</f>
        <v>0</v>
      </c>
      <c r="I188" s="31">
        <v>0</v>
      </c>
      <c r="J188" s="31">
        <v>0</v>
      </c>
      <c r="K188" s="31">
        <v>0</v>
      </c>
      <c r="L188" s="31">
        <v>0</v>
      </c>
    </row>
    <row r="189" spans="1:12">
      <c r="A189" s="33"/>
      <c r="B189" s="34"/>
      <c r="C189" s="34"/>
      <c r="D189" s="34"/>
      <c r="E189" s="6" t="s">
        <v>154</v>
      </c>
      <c r="F189" s="31"/>
      <c r="G189" s="31"/>
      <c r="H189" s="31"/>
      <c r="I189" s="31"/>
      <c r="J189" s="31"/>
      <c r="K189" s="31"/>
      <c r="L189" s="31"/>
    </row>
    <row r="190" spans="1:12" ht="27">
      <c r="A190" s="38">
        <v>2710</v>
      </c>
      <c r="B190" s="34" t="s">
        <v>12</v>
      </c>
      <c r="C190" s="34">
        <v>1</v>
      </c>
      <c r="D190" s="34">
        <v>0</v>
      </c>
      <c r="E190" s="6" t="s">
        <v>294</v>
      </c>
      <c r="F190" s="31">
        <f>SUM(F192:F194)</f>
        <v>0</v>
      </c>
      <c r="G190" s="31">
        <f>SUM(G192:G194)</f>
        <v>0</v>
      </c>
      <c r="H190" s="31">
        <f>SUM(H192:H194)</f>
        <v>0</v>
      </c>
      <c r="I190" s="31">
        <v>0</v>
      </c>
      <c r="J190" s="31">
        <v>0</v>
      </c>
      <c r="K190" s="31">
        <v>0</v>
      </c>
      <c r="L190" s="31">
        <v>0</v>
      </c>
    </row>
    <row r="191" spans="1:12" s="39" customFormat="1">
      <c r="A191" s="38"/>
      <c r="B191" s="34"/>
      <c r="C191" s="34"/>
      <c r="D191" s="34"/>
      <c r="E191" s="6" t="s">
        <v>156</v>
      </c>
      <c r="F191" s="31"/>
      <c r="G191" s="31"/>
      <c r="H191" s="31"/>
      <c r="I191" s="31"/>
      <c r="J191" s="31"/>
      <c r="K191" s="31"/>
      <c r="L191" s="31"/>
    </row>
    <row r="192" spans="1:12">
      <c r="A192" s="38">
        <v>2711</v>
      </c>
      <c r="B192" s="34" t="s">
        <v>12</v>
      </c>
      <c r="C192" s="34">
        <v>1</v>
      </c>
      <c r="D192" s="34">
        <v>1</v>
      </c>
      <c r="E192" s="6" t="s">
        <v>295</v>
      </c>
      <c r="F192" s="31">
        <f>SUM(G192:H192)</f>
        <v>0</v>
      </c>
      <c r="G192" s="31"/>
      <c r="H192" s="31"/>
      <c r="I192" s="31">
        <v>0</v>
      </c>
      <c r="J192" s="31">
        <v>0</v>
      </c>
      <c r="K192" s="31">
        <v>0</v>
      </c>
      <c r="L192" s="31">
        <v>0</v>
      </c>
    </row>
    <row r="193" spans="1:12">
      <c r="A193" s="38">
        <v>2712</v>
      </c>
      <c r="B193" s="34" t="s">
        <v>12</v>
      </c>
      <c r="C193" s="34">
        <v>1</v>
      </c>
      <c r="D193" s="34">
        <v>2</v>
      </c>
      <c r="E193" s="6" t="s">
        <v>296</v>
      </c>
      <c r="F193" s="31">
        <f>SUM(G193:H193)</f>
        <v>0</v>
      </c>
      <c r="G193" s="31"/>
      <c r="H193" s="31"/>
      <c r="I193" s="31">
        <v>0</v>
      </c>
      <c r="J193" s="31">
        <v>0</v>
      </c>
      <c r="K193" s="31">
        <v>0</v>
      </c>
      <c r="L193" s="31">
        <v>0</v>
      </c>
    </row>
    <row r="194" spans="1:12">
      <c r="A194" s="38">
        <v>2713</v>
      </c>
      <c r="B194" s="34" t="s">
        <v>12</v>
      </c>
      <c r="C194" s="34">
        <v>1</v>
      </c>
      <c r="D194" s="34">
        <v>3</v>
      </c>
      <c r="E194" s="6" t="s">
        <v>297</v>
      </c>
      <c r="F194" s="31">
        <f>SUM(G194:H194)</f>
        <v>0</v>
      </c>
      <c r="G194" s="31"/>
      <c r="H194" s="31"/>
      <c r="I194" s="31">
        <v>0</v>
      </c>
      <c r="J194" s="31">
        <v>0</v>
      </c>
      <c r="K194" s="31">
        <v>0</v>
      </c>
      <c r="L194" s="31">
        <v>0</v>
      </c>
    </row>
    <row r="195" spans="1:12">
      <c r="A195" s="38">
        <v>2720</v>
      </c>
      <c r="B195" s="34" t="s">
        <v>12</v>
      </c>
      <c r="C195" s="34">
        <v>2</v>
      </c>
      <c r="D195" s="34">
        <v>0</v>
      </c>
      <c r="E195" s="6" t="s">
        <v>298</v>
      </c>
      <c r="F195" s="31">
        <f>SUM(F197:F200)</f>
        <v>0</v>
      </c>
      <c r="G195" s="31">
        <f>SUM(G197:G200)</f>
        <v>0</v>
      </c>
      <c r="H195" s="31">
        <f>SUM(H197:H200)</f>
        <v>0</v>
      </c>
      <c r="I195" s="31">
        <v>0</v>
      </c>
      <c r="J195" s="31">
        <v>0</v>
      </c>
      <c r="K195" s="31">
        <v>0</v>
      </c>
      <c r="L195" s="31">
        <v>0</v>
      </c>
    </row>
    <row r="196" spans="1:12" s="39" customFormat="1">
      <c r="A196" s="38"/>
      <c r="B196" s="34"/>
      <c r="C196" s="34"/>
      <c r="D196" s="34"/>
      <c r="E196" s="6" t="s">
        <v>156</v>
      </c>
      <c r="F196" s="31"/>
      <c r="G196" s="31"/>
      <c r="H196" s="31"/>
      <c r="I196" s="31"/>
      <c r="J196" s="31"/>
      <c r="K196" s="31"/>
      <c r="L196" s="31"/>
    </row>
    <row r="197" spans="1:12">
      <c r="A197" s="38">
        <v>2721</v>
      </c>
      <c r="B197" s="34" t="s">
        <v>12</v>
      </c>
      <c r="C197" s="34">
        <v>2</v>
      </c>
      <c r="D197" s="34">
        <v>1</v>
      </c>
      <c r="E197" s="6" t="s">
        <v>299</v>
      </c>
      <c r="F197" s="31">
        <f>SUM(G197:H197)</f>
        <v>0</v>
      </c>
      <c r="G197" s="31"/>
      <c r="H197" s="31"/>
      <c r="I197" s="31">
        <v>0</v>
      </c>
      <c r="J197" s="31">
        <v>0</v>
      </c>
      <c r="K197" s="31">
        <v>0</v>
      </c>
      <c r="L197" s="31">
        <v>0</v>
      </c>
    </row>
    <row r="198" spans="1:12">
      <c r="A198" s="38">
        <v>2722</v>
      </c>
      <c r="B198" s="34" t="s">
        <v>12</v>
      </c>
      <c r="C198" s="34">
        <v>2</v>
      </c>
      <c r="D198" s="34">
        <v>2</v>
      </c>
      <c r="E198" s="6" t="s">
        <v>300</v>
      </c>
      <c r="F198" s="31">
        <f>SUM(G198:H198)</f>
        <v>0</v>
      </c>
      <c r="G198" s="31"/>
      <c r="H198" s="31"/>
      <c r="I198" s="31">
        <v>0</v>
      </c>
      <c r="J198" s="31">
        <v>0</v>
      </c>
      <c r="K198" s="31">
        <v>0</v>
      </c>
      <c r="L198" s="31">
        <v>0</v>
      </c>
    </row>
    <row r="199" spans="1:12">
      <c r="A199" s="38">
        <v>2723</v>
      </c>
      <c r="B199" s="34" t="s">
        <v>12</v>
      </c>
      <c r="C199" s="34">
        <v>2</v>
      </c>
      <c r="D199" s="34">
        <v>3</v>
      </c>
      <c r="E199" s="6" t="s">
        <v>301</v>
      </c>
      <c r="F199" s="31">
        <f>SUM(G199:H199)</f>
        <v>0</v>
      </c>
      <c r="G199" s="31"/>
      <c r="H199" s="31"/>
      <c r="I199" s="31">
        <v>0</v>
      </c>
      <c r="J199" s="31">
        <v>0</v>
      </c>
      <c r="K199" s="31">
        <v>0</v>
      </c>
      <c r="L199" s="31">
        <v>0</v>
      </c>
    </row>
    <row r="200" spans="1:12">
      <c r="A200" s="38">
        <v>2724</v>
      </c>
      <c r="B200" s="34" t="s">
        <v>12</v>
      </c>
      <c r="C200" s="34">
        <v>2</v>
      </c>
      <c r="D200" s="34">
        <v>4</v>
      </c>
      <c r="E200" s="6" t="s">
        <v>302</v>
      </c>
      <c r="F200" s="31">
        <f>SUM(G200:H200)</f>
        <v>0</v>
      </c>
      <c r="G200" s="31"/>
      <c r="H200" s="31"/>
      <c r="I200" s="31">
        <v>0</v>
      </c>
      <c r="J200" s="31">
        <v>0</v>
      </c>
      <c r="K200" s="31">
        <v>0</v>
      </c>
      <c r="L200" s="31">
        <v>0</v>
      </c>
    </row>
    <row r="201" spans="1:12">
      <c r="A201" s="38">
        <v>2730</v>
      </c>
      <c r="B201" s="34" t="s">
        <v>12</v>
      </c>
      <c r="C201" s="34">
        <v>3</v>
      </c>
      <c r="D201" s="34">
        <v>0</v>
      </c>
      <c r="E201" s="6" t="s">
        <v>303</v>
      </c>
      <c r="F201" s="31">
        <f>SUM(F203:F206)</f>
        <v>0</v>
      </c>
      <c r="G201" s="31">
        <f>SUM(G203:G206)</f>
        <v>0</v>
      </c>
      <c r="H201" s="31">
        <f>SUM(H203:H206)</f>
        <v>0</v>
      </c>
      <c r="I201" s="31">
        <v>0</v>
      </c>
      <c r="J201" s="31">
        <v>0</v>
      </c>
      <c r="K201" s="31">
        <v>0</v>
      </c>
      <c r="L201" s="31">
        <v>0</v>
      </c>
    </row>
    <row r="202" spans="1:12" s="39" customFormat="1">
      <c r="A202" s="38"/>
      <c r="B202" s="34"/>
      <c r="C202" s="34"/>
      <c r="D202" s="34"/>
      <c r="E202" s="6" t="s">
        <v>156</v>
      </c>
      <c r="F202" s="31"/>
      <c r="G202" s="31"/>
      <c r="H202" s="31"/>
      <c r="I202" s="31"/>
      <c r="J202" s="31"/>
      <c r="K202" s="31"/>
      <c r="L202" s="31"/>
    </row>
    <row r="203" spans="1:12" ht="27">
      <c r="A203" s="38">
        <v>2731</v>
      </c>
      <c r="B203" s="34" t="s">
        <v>12</v>
      </c>
      <c r="C203" s="34">
        <v>3</v>
      </c>
      <c r="D203" s="34">
        <v>1</v>
      </c>
      <c r="E203" s="6" t="s">
        <v>304</v>
      </c>
      <c r="F203" s="31">
        <f>SUM(G203:H203)</f>
        <v>0</v>
      </c>
      <c r="G203" s="31"/>
      <c r="H203" s="31"/>
      <c r="I203" s="31">
        <v>0</v>
      </c>
      <c r="J203" s="31">
        <v>0</v>
      </c>
      <c r="K203" s="31">
        <v>0</v>
      </c>
      <c r="L203" s="31">
        <v>0</v>
      </c>
    </row>
    <row r="204" spans="1:12" ht="27">
      <c r="A204" s="38">
        <v>2732</v>
      </c>
      <c r="B204" s="34" t="s">
        <v>12</v>
      </c>
      <c r="C204" s="34">
        <v>3</v>
      </c>
      <c r="D204" s="34">
        <v>2</v>
      </c>
      <c r="E204" s="6" t="s">
        <v>305</v>
      </c>
      <c r="F204" s="31">
        <f>SUM(G204:H204)</f>
        <v>0</v>
      </c>
      <c r="G204" s="31"/>
      <c r="H204" s="31"/>
      <c r="I204" s="31">
        <v>0</v>
      </c>
      <c r="J204" s="31">
        <v>0</v>
      </c>
      <c r="K204" s="31">
        <v>0</v>
      </c>
      <c r="L204" s="31">
        <v>0</v>
      </c>
    </row>
    <row r="205" spans="1:12" ht="27">
      <c r="A205" s="38">
        <v>2733</v>
      </c>
      <c r="B205" s="34" t="s">
        <v>12</v>
      </c>
      <c r="C205" s="34">
        <v>3</v>
      </c>
      <c r="D205" s="34">
        <v>3</v>
      </c>
      <c r="E205" s="6" t="s">
        <v>306</v>
      </c>
      <c r="F205" s="31">
        <f>SUM(G205:H205)</f>
        <v>0</v>
      </c>
      <c r="G205" s="31"/>
      <c r="H205" s="31"/>
      <c r="I205" s="31">
        <v>0</v>
      </c>
      <c r="J205" s="31">
        <v>0</v>
      </c>
      <c r="K205" s="31">
        <v>0</v>
      </c>
      <c r="L205" s="31">
        <v>0</v>
      </c>
    </row>
    <row r="206" spans="1:12" ht="27">
      <c r="A206" s="38">
        <v>2734</v>
      </c>
      <c r="B206" s="34" t="s">
        <v>12</v>
      </c>
      <c r="C206" s="34">
        <v>3</v>
      </c>
      <c r="D206" s="34">
        <v>4</v>
      </c>
      <c r="E206" s="6" t="s">
        <v>307</v>
      </c>
      <c r="F206" s="31">
        <f>SUM(G206:H206)</f>
        <v>0</v>
      </c>
      <c r="G206" s="31"/>
      <c r="H206" s="31"/>
      <c r="I206" s="31">
        <v>0</v>
      </c>
      <c r="J206" s="31">
        <v>0</v>
      </c>
      <c r="K206" s="31">
        <v>0</v>
      </c>
      <c r="L206" s="31">
        <v>0</v>
      </c>
    </row>
    <row r="207" spans="1:12">
      <c r="A207" s="38">
        <v>2740</v>
      </c>
      <c r="B207" s="34" t="s">
        <v>12</v>
      </c>
      <c r="C207" s="34">
        <v>4</v>
      </c>
      <c r="D207" s="34">
        <v>0</v>
      </c>
      <c r="E207" s="6" t="s">
        <v>308</v>
      </c>
      <c r="F207" s="31">
        <f>SUM(F209)</f>
        <v>0</v>
      </c>
      <c r="G207" s="31">
        <f>SUM(G209)</f>
        <v>0</v>
      </c>
      <c r="H207" s="31">
        <f>SUM(H209)</f>
        <v>0</v>
      </c>
      <c r="I207" s="31">
        <v>0</v>
      </c>
      <c r="J207" s="31">
        <v>0</v>
      </c>
      <c r="K207" s="31">
        <v>0</v>
      </c>
      <c r="L207" s="31">
        <v>0</v>
      </c>
    </row>
    <row r="208" spans="1:12" s="39" customFormat="1">
      <c r="A208" s="38"/>
      <c r="B208" s="34"/>
      <c r="C208" s="34"/>
      <c r="D208" s="34"/>
      <c r="E208" s="6" t="s">
        <v>156</v>
      </c>
      <c r="F208" s="31"/>
      <c r="G208" s="31"/>
      <c r="H208" s="31"/>
      <c r="I208" s="31"/>
      <c r="J208" s="31"/>
      <c r="K208" s="31"/>
      <c r="L208" s="31"/>
    </row>
    <row r="209" spans="1:12">
      <c r="A209" s="38">
        <v>2741</v>
      </c>
      <c r="B209" s="34" t="s">
        <v>12</v>
      </c>
      <c r="C209" s="34">
        <v>4</v>
      </c>
      <c r="D209" s="34">
        <v>1</v>
      </c>
      <c r="E209" s="6" t="s">
        <v>308</v>
      </c>
      <c r="F209" s="31">
        <f>SUM(G209:H209)</f>
        <v>0</v>
      </c>
      <c r="G209" s="31"/>
      <c r="H209" s="31"/>
      <c r="I209" s="31">
        <v>0</v>
      </c>
      <c r="J209" s="31">
        <v>0</v>
      </c>
      <c r="K209" s="31">
        <v>0</v>
      </c>
      <c r="L209" s="31">
        <v>0</v>
      </c>
    </row>
    <row r="210" spans="1:12" ht="27">
      <c r="A210" s="38">
        <v>2750</v>
      </c>
      <c r="B210" s="34" t="s">
        <v>12</v>
      </c>
      <c r="C210" s="34">
        <v>5</v>
      </c>
      <c r="D210" s="34">
        <v>0</v>
      </c>
      <c r="E210" s="6" t="s">
        <v>309</v>
      </c>
      <c r="F210" s="31">
        <f>SUM(F212)</f>
        <v>0</v>
      </c>
      <c r="G210" s="31">
        <f>SUM(G212)</f>
        <v>0</v>
      </c>
      <c r="H210" s="31">
        <f>SUM(H212)</f>
        <v>0</v>
      </c>
      <c r="I210" s="31">
        <v>0</v>
      </c>
      <c r="J210" s="31">
        <v>0</v>
      </c>
      <c r="K210" s="31">
        <v>0</v>
      </c>
      <c r="L210" s="31">
        <v>0</v>
      </c>
    </row>
    <row r="211" spans="1:12" s="39" customFormat="1">
      <c r="A211" s="38"/>
      <c r="B211" s="34"/>
      <c r="C211" s="34"/>
      <c r="D211" s="34"/>
      <c r="E211" s="6" t="s">
        <v>156</v>
      </c>
      <c r="F211" s="31"/>
      <c r="G211" s="31"/>
      <c r="H211" s="31"/>
      <c r="I211" s="31"/>
      <c r="J211" s="31"/>
      <c r="K211" s="31"/>
      <c r="L211" s="31"/>
    </row>
    <row r="212" spans="1:12" ht="27">
      <c r="A212" s="38">
        <v>2751</v>
      </c>
      <c r="B212" s="34" t="s">
        <v>12</v>
      </c>
      <c r="C212" s="34">
        <v>5</v>
      </c>
      <c r="D212" s="34">
        <v>1</v>
      </c>
      <c r="E212" s="6" t="s">
        <v>309</v>
      </c>
      <c r="F212" s="31">
        <f>SUM(G212:H212)</f>
        <v>0</v>
      </c>
      <c r="G212" s="31"/>
      <c r="H212" s="31"/>
      <c r="I212" s="31">
        <v>0</v>
      </c>
      <c r="J212" s="31">
        <v>0</v>
      </c>
      <c r="K212" s="31">
        <v>0</v>
      </c>
      <c r="L212" s="31">
        <v>0</v>
      </c>
    </row>
    <row r="213" spans="1:12">
      <c r="A213" s="38">
        <v>2760</v>
      </c>
      <c r="B213" s="34" t="s">
        <v>12</v>
      </c>
      <c r="C213" s="34">
        <v>6</v>
      </c>
      <c r="D213" s="34">
        <v>0</v>
      </c>
      <c r="E213" s="6" t="s">
        <v>310</v>
      </c>
      <c r="F213" s="31">
        <f>SUM(F215:F216)</f>
        <v>0</v>
      </c>
      <c r="G213" s="31">
        <f>SUM(G215:G216)</f>
        <v>0</v>
      </c>
      <c r="H213" s="31">
        <f>SUM(H215:H216)</f>
        <v>0</v>
      </c>
      <c r="I213" s="31">
        <v>0</v>
      </c>
      <c r="J213" s="31">
        <v>0</v>
      </c>
      <c r="K213" s="31">
        <v>0</v>
      </c>
      <c r="L213" s="31">
        <v>0</v>
      </c>
    </row>
    <row r="214" spans="1:12" s="39" customFormat="1">
      <c r="A214" s="38"/>
      <c r="B214" s="34"/>
      <c r="C214" s="34"/>
      <c r="D214" s="34"/>
      <c r="E214" s="6" t="s">
        <v>156</v>
      </c>
      <c r="F214" s="31"/>
      <c r="G214" s="31"/>
      <c r="H214" s="31"/>
      <c r="I214" s="31"/>
      <c r="J214" s="31"/>
      <c r="K214" s="31"/>
      <c r="L214" s="31"/>
    </row>
    <row r="215" spans="1:12" ht="27">
      <c r="A215" s="38">
        <v>2761</v>
      </c>
      <c r="B215" s="34" t="s">
        <v>12</v>
      </c>
      <c r="C215" s="34">
        <v>6</v>
      </c>
      <c r="D215" s="34">
        <v>1</v>
      </c>
      <c r="E215" s="6" t="s">
        <v>311</v>
      </c>
      <c r="F215" s="31">
        <f>SUM(G215:H215)</f>
        <v>0</v>
      </c>
      <c r="G215" s="31"/>
      <c r="H215" s="31"/>
      <c r="I215" s="31">
        <v>0</v>
      </c>
      <c r="J215" s="31">
        <v>0</v>
      </c>
      <c r="K215" s="31">
        <v>0</v>
      </c>
      <c r="L215" s="31">
        <v>0</v>
      </c>
    </row>
    <row r="216" spans="1:12">
      <c r="A216" s="38">
        <v>2762</v>
      </c>
      <c r="B216" s="34" t="s">
        <v>12</v>
      </c>
      <c r="C216" s="34">
        <v>6</v>
      </c>
      <c r="D216" s="34">
        <v>2</v>
      </c>
      <c r="E216" s="6" t="s">
        <v>310</v>
      </c>
      <c r="F216" s="31">
        <f>SUM(G216:H216)</f>
        <v>0</v>
      </c>
      <c r="G216" s="31"/>
      <c r="H216" s="31"/>
      <c r="I216" s="31">
        <v>0</v>
      </c>
      <c r="J216" s="31">
        <v>0</v>
      </c>
      <c r="K216" s="31">
        <v>0</v>
      </c>
      <c r="L216" s="31">
        <v>0</v>
      </c>
    </row>
    <row r="217" spans="1:12" s="36" customFormat="1" ht="40.5">
      <c r="A217" s="38">
        <v>2800</v>
      </c>
      <c r="B217" s="34" t="s">
        <v>13</v>
      </c>
      <c r="C217" s="34">
        <v>0</v>
      </c>
      <c r="D217" s="34">
        <v>0</v>
      </c>
      <c r="E217" s="6" t="s">
        <v>312</v>
      </c>
      <c r="F217" s="31">
        <f>+F219+F222+F231+F236+F241+F244</f>
        <v>1777166.1639999992</v>
      </c>
      <c r="G217" s="31">
        <f t="shared" ref="G217:L217" si="13">+G219+G222+G231+G236+G241+G244</f>
        <v>1751166.1639999992</v>
      </c>
      <c r="H217" s="31">
        <f t="shared" si="13"/>
        <v>26000</v>
      </c>
      <c r="I217" s="31">
        <f t="shared" si="13"/>
        <v>422610.23714285693</v>
      </c>
      <c r="J217" s="31">
        <f t="shared" si="13"/>
        <v>842711.64257142763</v>
      </c>
      <c r="K217" s="31">
        <f t="shared" si="13"/>
        <v>1310965.8605063474</v>
      </c>
      <c r="L217" s="31">
        <f t="shared" si="13"/>
        <v>1777166.1639999992</v>
      </c>
    </row>
    <row r="218" spans="1:12">
      <c r="A218" s="33"/>
      <c r="B218" s="34"/>
      <c r="C218" s="34"/>
      <c r="D218" s="34"/>
      <c r="E218" s="6" t="s">
        <v>154</v>
      </c>
      <c r="F218" s="31"/>
      <c r="G218" s="31"/>
      <c r="H218" s="31"/>
      <c r="I218" s="31"/>
      <c r="J218" s="31"/>
      <c r="K218" s="31"/>
      <c r="L218" s="31"/>
    </row>
    <row r="219" spans="1:12">
      <c r="A219" s="38">
        <v>2810</v>
      </c>
      <c r="B219" s="34" t="s">
        <v>13</v>
      </c>
      <c r="C219" s="34">
        <v>1</v>
      </c>
      <c r="D219" s="34">
        <v>0</v>
      </c>
      <c r="E219" s="6" t="s">
        <v>313</v>
      </c>
      <c r="F219" s="31">
        <f>+F221</f>
        <v>793231.12399999902</v>
      </c>
      <c r="G219" s="31">
        <f t="shared" ref="G219:L219" si="14">+G221</f>
        <v>793231.12399999902</v>
      </c>
      <c r="H219" s="31"/>
      <c r="I219" s="31">
        <f t="shared" si="14"/>
        <v>194382.02476190453</v>
      </c>
      <c r="J219" s="31">
        <f t="shared" si="14"/>
        <v>387846.70160317415</v>
      </c>
      <c r="K219" s="31">
        <f t="shared" si="14"/>
        <v>603359.63214126916</v>
      </c>
      <c r="L219" s="31">
        <f t="shared" si="14"/>
        <v>793231.12399999902</v>
      </c>
    </row>
    <row r="220" spans="1:12" s="39" customFormat="1">
      <c r="A220" s="38"/>
      <c r="B220" s="34"/>
      <c r="C220" s="34"/>
      <c r="D220" s="34"/>
      <c r="E220" s="6" t="s">
        <v>156</v>
      </c>
      <c r="F220" s="31"/>
      <c r="G220" s="31"/>
      <c r="H220" s="31"/>
      <c r="I220" s="31"/>
      <c r="J220" s="31"/>
      <c r="K220" s="31"/>
      <c r="L220" s="31"/>
    </row>
    <row r="221" spans="1:12">
      <c r="A221" s="38">
        <v>2811</v>
      </c>
      <c r="B221" s="34" t="s">
        <v>13</v>
      </c>
      <c r="C221" s="34">
        <v>1</v>
      </c>
      <c r="D221" s="34">
        <v>1</v>
      </c>
      <c r="E221" s="6" t="s">
        <v>313</v>
      </c>
      <c r="F221" s="31">
        <f>+'4.Gorcarakan ev tntesagitakan'!H545</f>
        <v>793231.12399999902</v>
      </c>
      <c r="G221" s="31">
        <f>+'4.Gorcarakan ev tntesagitakan'!I545</f>
        <v>793231.12399999902</v>
      </c>
      <c r="H221" s="31"/>
      <c r="I221" s="31">
        <f>+'4.Gorcarakan ev tntesagitakan'!K545</f>
        <v>194382.02476190453</v>
      </c>
      <c r="J221" s="31">
        <f>+'4.Gorcarakan ev tntesagitakan'!L545</f>
        <v>387846.70160317415</v>
      </c>
      <c r="K221" s="31">
        <f>+'4.Gorcarakan ev tntesagitakan'!M545</f>
        <v>603359.63214126916</v>
      </c>
      <c r="L221" s="31">
        <f>+'4.Gorcarakan ev tntesagitakan'!N545</f>
        <v>793231.12399999902</v>
      </c>
    </row>
    <row r="222" spans="1:12">
      <c r="A222" s="38">
        <v>2820</v>
      </c>
      <c r="B222" s="34" t="s">
        <v>13</v>
      </c>
      <c r="C222" s="34">
        <v>2</v>
      </c>
      <c r="D222" s="34">
        <v>0</v>
      </c>
      <c r="E222" s="6" t="s">
        <v>314</v>
      </c>
      <c r="F222" s="31">
        <f>+'4.Gorcarakan ev tntesagitakan'!H556</f>
        <v>921733.8</v>
      </c>
      <c r="G222" s="31">
        <f>+'4.Gorcarakan ev tntesagitakan'!I556</f>
        <v>895733.8</v>
      </c>
      <c r="H222" s="31">
        <f>+'4.Gorcarakan ev tntesagitakan'!J556</f>
        <v>26000</v>
      </c>
      <c r="I222" s="31">
        <f>+'4.Gorcarakan ev tntesagitakan'!K556</f>
        <v>211217.15333333335</v>
      </c>
      <c r="J222" s="31">
        <f>+'4.Gorcarakan ev tntesagitakan'!L556</f>
        <v>422797.23255555501</v>
      </c>
      <c r="K222" s="31">
        <f>+'4.Gorcarakan ev tntesagitakan'!M556</f>
        <v>655378.67138095107</v>
      </c>
      <c r="L222" s="31">
        <f>+'4.Gorcarakan ev tntesagitakan'!N556</f>
        <v>921733.8</v>
      </c>
    </row>
    <row r="223" spans="1:12" s="39" customFormat="1">
      <c r="A223" s="38"/>
      <c r="B223" s="34"/>
      <c r="C223" s="34"/>
      <c r="D223" s="34"/>
      <c r="E223" s="6" t="s">
        <v>156</v>
      </c>
      <c r="F223" s="31"/>
      <c r="G223" s="31"/>
      <c r="H223" s="31"/>
      <c r="I223" s="31"/>
      <c r="J223" s="31"/>
      <c r="K223" s="31"/>
      <c r="L223" s="31"/>
    </row>
    <row r="224" spans="1:12">
      <c r="A224" s="38">
        <v>2821</v>
      </c>
      <c r="B224" s="34" t="s">
        <v>13</v>
      </c>
      <c r="C224" s="34">
        <v>2</v>
      </c>
      <c r="D224" s="34">
        <v>1</v>
      </c>
      <c r="E224" s="6" t="s">
        <v>315</v>
      </c>
      <c r="F224" s="31">
        <f>+'4.Gorcarakan ev tntesagitakan'!H558</f>
        <v>69280.100000000006</v>
      </c>
      <c r="G224" s="31">
        <f>+'4.Gorcarakan ev tntesagitakan'!I558</f>
        <v>69280.100000000006</v>
      </c>
      <c r="H224" s="31"/>
      <c r="I224" s="31">
        <f>+'4.Gorcarakan ev tntesagitakan'!K558</f>
        <v>15384.885714285712</v>
      </c>
      <c r="J224" s="31">
        <f>+'4.Gorcarakan ev tntesagitakan'!L558</f>
        <v>30944.751190476192</v>
      </c>
      <c r="K224" s="31">
        <f>+'4.Gorcarakan ev tntesagitakan'!M558</f>
        <v>47780.015476190478</v>
      </c>
      <c r="L224" s="31">
        <f>+'4.Gorcarakan ev tntesagitakan'!N558</f>
        <v>69280.100000000006</v>
      </c>
    </row>
    <row r="225" spans="1:12">
      <c r="A225" s="38">
        <v>2822</v>
      </c>
      <c r="B225" s="34" t="s">
        <v>13</v>
      </c>
      <c r="C225" s="34">
        <v>2</v>
      </c>
      <c r="D225" s="34">
        <v>2</v>
      </c>
      <c r="E225" s="6" t="s">
        <v>316</v>
      </c>
      <c r="F225" s="31">
        <f>+'4.Gorcarakan ev tntesagitakan'!H564</f>
        <v>103540.1</v>
      </c>
      <c r="G225" s="31">
        <f>+'4.Gorcarakan ev tntesagitakan'!I564</f>
        <v>100040.1</v>
      </c>
      <c r="H225" s="31"/>
      <c r="I225" s="31">
        <f>+'4.Gorcarakan ev tntesagitakan'!K564</f>
        <v>24830.138095238093</v>
      </c>
      <c r="J225" s="31">
        <f>+'4.Gorcarakan ev tntesagitakan'!L564</f>
        <v>49558.763492063488</v>
      </c>
      <c r="K225" s="31">
        <f>+'4.Gorcarakan ev tntesagitakan'!M564</f>
        <v>79814.325396825399</v>
      </c>
      <c r="L225" s="31">
        <f>+'4.Gorcarakan ev tntesagitakan'!N564</f>
        <v>103540.1</v>
      </c>
    </row>
    <row r="226" spans="1:12">
      <c r="A226" s="38">
        <v>2823</v>
      </c>
      <c r="B226" s="34" t="s">
        <v>13</v>
      </c>
      <c r="C226" s="34">
        <v>2</v>
      </c>
      <c r="D226" s="34">
        <v>3</v>
      </c>
      <c r="E226" s="6" t="s">
        <v>317</v>
      </c>
      <c r="F226" s="31">
        <f>+'4.Gorcarakan ev tntesagitakan'!H570</f>
        <v>720413.6</v>
      </c>
      <c r="G226" s="31">
        <f>+'4.Gorcarakan ev tntesagitakan'!I570</f>
        <v>720413.6</v>
      </c>
      <c r="H226" s="31"/>
      <c r="I226" s="31">
        <f>+'4.Gorcarakan ev tntesagitakan'!K570</f>
        <v>164216.41523809524</v>
      </c>
      <c r="J226" s="31">
        <f>+'4.Gorcarakan ev tntesagitakan'!L570</f>
        <v>328609.19406349154</v>
      </c>
      <c r="K226" s="31">
        <f>+'4.Gorcarakan ev tntesagitakan'!M570</f>
        <v>506476.79082539561</v>
      </c>
      <c r="L226" s="31">
        <f>+'4.Gorcarakan ev tntesagitakan'!N570</f>
        <v>720413.6</v>
      </c>
    </row>
    <row r="227" spans="1:12">
      <c r="A227" s="38">
        <v>2824</v>
      </c>
      <c r="B227" s="34" t="s">
        <v>13</v>
      </c>
      <c r="C227" s="34">
        <v>2</v>
      </c>
      <c r="D227" s="34">
        <v>4</v>
      </c>
      <c r="E227" s="6" t="s">
        <v>318</v>
      </c>
      <c r="F227" s="31">
        <f>SUM(G227:H227)</f>
        <v>0</v>
      </c>
      <c r="G227" s="31"/>
      <c r="H227" s="31"/>
      <c r="I227" s="31">
        <v>0</v>
      </c>
      <c r="J227" s="31">
        <v>0</v>
      </c>
      <c r="K227" s="31">
        <v>0</v>
      </c>
      <c r="L227" s="31">
        <v>0</v>
      </c>
    </row>
    <row r="228" spans="1:12">
      <c r="A228" s="38">
        <v>2825</v>
      </c>
      <c r="B228" s="34" t="s">
        <v>13</v>
      </c>
      <c r="C228" s="34">
        <v>2</v>
      </c>
      <c r="D228" s="34">
        <v>5</v>
      </c>
      <c r="E228" s="6" t="s">
        <v>319</v>
      </c>
      <c r="F228" s="31">
        <f>SUM(G228:H228)</f>
        <v>0</v>
      </c>
      <c r="G228" s="31"/>
      <c r="H228" s="31"/>
      <c r="I228" s="31">
        <v>0</v>
      </c>
      <c r="J228" s="31">
        <v>0</v>
      </c>
      <c r="K228" s="31">
        <v>0</v>
      </c>
      <c r="L228" s="31">
        <v>0</v>
      </c>
    </row>
    <row r="229" spans="1:12">
      <c r="A229" s="38">
        <v>2826</v>
      </c>
      <c r="B229" s="34" t="s">
        <v>13</v>
      </c>
      <c r="C229" s="34">
        <v>2</v>
      </c>
      <c r="D229" s="34">
        <v>6</v>
      </c>
      <c r="E229" s="6" t="s">
        <v>320</v>
      </c>
      <c r="F229" s="31">
        <f>SUM(G229:H229)</f>
        <v>0</v>
      </c>
      <c r="G229" s="31"/>
      <c r="H229" s="31"/>
      <c r="I229" s="31">
        <v>0</v>
      </c>
      <c r="J229" s="31">
        <v>0</v>
      </c>
      <c r="K229" s="31">
        <v>0</v>
      </c>
      <c r="L229" s="31">
        <v>0</v>
      </c>
    </row>
    <row r="230" spans="1:12" ht="27">
      <c r="A230" s="38">
        <v>2827</v>
      </c>
      <c r="B230" s="34" t="s">
        <v>13</v>
      </c>
      <c r="C230" s="34">
        <v>2</v>
      </c>
      <c r="D230" s="34">
        <v>7</v>
      </c>
      <c r="E230" s="6" t="s">
        <v>321</v>
      </c>
      <c r="F230" s="31">
        <f>+'4.Gorcarakan ev tntesagitakan'!H589</f>
        <v>28500</v>
      </c>
      <c r="G230" s="31">
        <f>+'4.Gorcarakan ev tntesagitakan'!I589</f>
        <v>6000</v>
      </c>
      <c r="H230" s="31">
        <f>+'4.Gorcarakan ev tntesagitakan'!J589</f>
        <v>22500</v>
      </c>
      <c r="I230" s="31">
        <f>+'4.Gorcarakan ev tntesagitakan'!K589</f>
        <v>6785.7142857142871</v>
      </c>
      <c r="J230" s="31">
        <f>+'4.Gorcarakan ev tntesagitakan'!L589</f>
        <v>13684.523809523811</v>
      </c>
      <c r="K230" s="31">
        <f>+'4.Gorcarakan ev tntesagitakan'!M589</f>
        <v>21307.539682539686</v>
      </c>
      <c r="L230" s="31">
        <f>+'4.Gorcarakan ev tntesagitakan'!N589</f>
        <v>28500</v>
      </c>
    </row>
    <row r="231" spans="1:12" ht="40.5">
      <c r="A231" s="38">
        <v>2830</v>
      </c>
      <c r="B231" s="34" t="s">
        <v>13</v>
      </c>
      <c r="C231" s="34">
        <v>3</v>
      </c>
      <c r="D231" s="34">
        <v>0</v>
      </c>
      <c r="E231" s="6" t="s">
        <v>322</v>
      </c>
      <c r="F231" s="31">
        <f>SUM(F233:F235)</f>
        <v>0</v>
      </c>
      <c r="G231" s="31">
        <f>SUM(G233:G235)</f>
        <v>0</v>
      </c>
      <c r="H231" s="31">
        <f>SUM(H233:H235)</f>
        <v>0</v>
      </c>
      <c r="I231" s="31">
        <v>0</v>
      </c>
      <c r="J231" s="31">
        <v>0</v>
      </c>
      <c r="K231" s="31">
        <v>0</v>
      </c>
      <c r="L231" s="31">
        <v>0</v>
      </c>
    </row>
    <row r="232" spans="1:12" s="39" customFormat="1">
      <c r="A232" s="38"/>
      <c r="B232" s="34"/>
      <c r="C232" s="34"/>
      <c r="D232" s="34"/>
      <c r="E232" s="6" t="s">
        <v>156</v>
      </c>
      <c r="F232" s="31"/>
      <c r="G232" s="31"/>
      <c r="H232" s="31"/>
      <c r="I232" s="31"/>
      <c r="J232" s="31"/>
      <c r="K232" s="31"/>
      <c r="L232" s="31"/>
    </row>
    <row r="233" spans="1:12">
      <c r="A233" s="38">
        <v>2831</v>
      </c>
      <c r="B233" s="34" t="s">
        <v>13</v>
      </c>
      <c r="C233" s="34">
        <v>3</v>
      </c>
      <c r="D233" s="34">
        <v>1</v>
      </c>
      <c r="E233" s="6" t="s">
        <v>323</v>
      </c>
      <c r="F233" s="31">
        <f>SUM(G233:H233)</f>
        <v>0</v>
      </c>
      <c r="G233" s="31"/>
      <c r="H233" s="31"/>
      <c r="I233" s="31">
        <v>0</v>
      </c>
      <c r="J233" s="31">
        <v>0</v>
      </c>
      <c r="K233" s="31">
        <v>0</v>
      </c>
      <c r="L233" s="31">
        <v>0</v>
      </c>
    </row>
    <row r="234" spans="1:12">
      <c r="A234" s="38">
        <v>2832</v>
      </c>
      <c r="B234" s="34" t="s">
        <v>13</v>
      </c>
      <c r="C234" s="34">
        <v>3</v>
      </c>
      <c r="D234" s="34">
        <v>2</v>
      </c>
      <c r="E234" s="6" t="s">
        <v>324</v>
      </c>
      <c r="F234" s="31">
        <f>SUM(G234:H234)</f>
        <v>0</v>
      </c>
      <c r="G234" s="31"/>
      <c r="H234" s="31"/>
      <c r="I234" s="31">
        <v>0</v>
      </c>
      <c r="J234" s="31">
        <v>0</v>
      </c>
      <c r="K234" s="31">
        <v>0</v>
      </c>
      <c r="L234" s="31">
        <v>0</v>
      </c>
    </row>
    <row r="235" spans="1:12">
      <c r="A235" s="38">
        <v>2833</v>
      </c>
      <c r="B235" s="34" t="s">
        <v>13</v>
      </c>
      <c r="C235" s="34">
        <v>3</v>
      </c>
      <c r="D235" s="34">
        <v>3</v>
      </c>
      <c r="E235" s="6" t="s">
        <v>325</v>
      </c>
      <c r="F235" s="31">
        <f>SUM(G235:H235)</f>
        <v>0</v>
      </c>
      <c r="G235" s="31"/>
      <c r="H235" s="31"/>
      <c r="I235" s="31">
        <v>0</v>
      </c>
      <c r="J235" s="31">
        <v>0</v>
      </c>
      <c r="K235" s="31">
        <v>0</v>
      </c>
      <c r="L235" s="31">
        <v>0</v>
      </c>
    </row>
    <row r="236" spans="1:12">
      <c r="A236" s="38">
        <v>2840</v>
      </c>
      <c r="B236" s="34" t="s">
        <v>13</v>
      </c>
      <c r="C236" s="34">
        <v>4</v>
      </c>
      <c r="D236" s="34">
        <v>0</v>
      </c>
      <c r="E236" s="6" t="s">
        <v>326</v>
      </c>
      <c r="F236" s="31">
        <f>+'4.Gorcarakan ev tntesagitakan'!H611</f>
        <v>25000</v>
      </c>
      <c r="G236" s="31">
        <f>+'4.Gorcarakan ev tntesagitakan'!I611</f>
        <v>25000</v>
      </c>
      <c r="H236" s="31">
        <f>+'4.Gorcarakan ev tntesagitakan'!J611</f>
        <v>0</v>
      </c>
      <c r="I236" s="31">
        <f>+'4.Gorcarakan ev tntesagitakan'!K611</f>
        <v>5952.3809523809523</v>
      </c>
      <c r="J236" s="31">
        <f>+'4.Gorcarakan ev tntesagitakan'!L611</f>
        <v>12003.968253968254</v>
      </c>
      <c r="K236" s="31">
        <f>+'4.Gorcarakan ev tntesagitakan'!M611</f>
        <v>22420.634920634919</v>
      </c>
      <c r="L236" s="31">
        <f>+'4.Gorcarakan ev tntesagitakan'!N611</f>
        <v>25000</v>
      </c>
    </row>
    <row r="237" spans="1:12" s="39" customFormat="1">
      <c r="A237" s="38"/>
      <c r="B237" s="34"/>
      <c r="C237" s="34"/>
      <c r="D237" s="34"/>
      <c r="E237" s="6" t="s">
        <v>156</v>
      </c>
      <c r="F237" s="31"/>
      <c r="G237" s="31"/>
      <c r="H237" s="31"/>
      <c r="I237" s="31"/>
      <c r="J237" s="31"/>
      <c r="K237" s="31"/>
      <c r="L237" s="31"/>
    </row>
    <row r="238" spans="1:12">
      <c r="A238" s="38">
        <v>2841</v>
      </c>
      <c r="B238" s="34" t="s">
        <v>13</v>
      </c>
      <c r="C238" s="34">
        <v>4</v>
      </c>
      <c r="D238" s="34">
        <v>1</v>
      </c>
      <c r="E238" s="6" t="s">
        <v>327</v>
      </c>
      <c r="F238" s="31">
        <f>+'4.Gorcarakan ev tntesagitakan'!H612</f>
        <v>10000</v>
      </c>
      <c r="G238" s="31">
        <f>+'4.Gorcarakan ev tntesagitakan'!I612</f>
        <v>10000</v>
      </c>
      <c r="H238" s="31">
        <f>+'4.Gorcarakan ev tntesagitakan'!J612</f>
        <v>0</v>
      </c>
      <c r="I238" s="31">
        <f>+'4.Gorcarakan ev tntesagitakan'!K612</f>
        <v>2380.9523809523812</v>
      </c>
      <c r="J238" s="31">
        <f>+'4.Gorcarakan ev tntesagitakan'!L612</f>
        <v>4801.5873015873021</v>
      </c>
      <c r="K238" s="31">
        <f>+'4.Gorcarakan ev tntesagitakan'!M612</f>
        <v>7420.6349206349205</v>
      </c>
      <c r="L238" s="31">
        <f>+'4.Gorcarakan ev tntesagitakan'!N612</f>
        <v>10000</v>
      </c>
    </row>
    <row r="239" spans="1:12" ht="27">
      <c r="A239" s="38">
        <v>2842</v>
      </c>
      <c r="B239" s="34" t="s">
        <v>13</v>
      </c>
      <c r="C239" s="34">
        <v>4</v>
      </c>
      <c r="D239" s="34">
        <v>2</v>
      </c>
      <c r="E239" s="6" t="s">
        <v>328</v>
      </c>
      <c r="F239" s="31">
        <f>+'4.Gorcarakan ev tntesagitakan'!H616</f>
        <v>15000</v>
      </c>
      <c r="G239" s="31">
        <f>+'4.Gorcarakan ev tntesagitakan'!I616</f>
        <v>15000</v>
      </c>
      <c r="H239" s="31">
        <f>+'4.Gorcarakan ev tntesagitakan'!J616</f>
        <v>0</v>
      </c>
      <c r="I239" s="31">
        <f>+'4.Gorcarakan ev tntesagitakan'!K616</f>
        <v>3571.4285714285716</v>
      </c>
      <c r="J239" s="31">
        <f>+'4.Gorcarakan ev tntesagitakan'!L616</f>
        <v>7202.3809523809523</v>
      </c>
      <c r="K239" s="31">
        <f>+'4.Gorcarakan ev tntesagitakan'!M616</f>
        <v>15000</v>
      </c>
      <c r="L239" s="31">
        <f>+'4.Gorcarakan ev tntesagitakan'!N616</f>
        <v>15000</v>
      </c>
    </row>
    <row r="240" spans="1:12">
      <c r="A240" s="38">
        <v>2843</v>
      </c>
      <c r="B240" s="34" t="s">
        <v>13</v>
      </c>
      <c r="C240" s="34">
        <v>4</v>
      </c>
      <c r="D240" s="34">
        <v>3</v>
      </c>
      <c r="E240" s="6" t="s">
        <v>326</v>
      </c>
      <c r="F240" s="31">
        <f>SUM(G240:H240)</f>
        <v>0</v>
      </c>
      <c r="G240" s="31"/>
      <c r="H240" s="31"/>
      <c r="I240" s="31">
        <v>0</v>
      </c>
      <c r="J240" s="31">
        <v>0</v>
      </c>
      <c r="K240" s="31">
        <v>0</v>
      </c>
      <c r="L240" s="31">
        <v>0</v>
      </c>
    </row>
    <row r="241" spans="1:12" ht="27">
      <c r="A241" s="38">
        <v>2850</v>
      </c>
      <c r="B241" s="34" t="s">
        <v>13</v>
      </c>
      <c r="C241" s="34">
        <v>5</v>
      </c>
      <c r="D241" s="34">
        <v>0</v>
      </c>
      <c r="E241" s="7" t="s">
        <v>329</v>
      </c>
      <c r="F241" s="31">
        <f>SUM(F243)</f>
        <v>0</v>
      </c>
      <c r="G241" s="31">
        <f>SUM(G243)</f>
        <v>0</v>
      </c>
      <c r="H241" s="31">
        <f>SUM(H243)</f>
        <v>0</v>
      </c>
      <c r="I241" s="31">
        <v>0</v>
      </c>
      <c r="J241" s="31">
        <v>0</v>
      </c>
      <c r="K241" s="31">
        <v>0</v>
      </c>
      <c r="L241" s="31">
        <v>0</v>
      </c>
    </row>
    <row r="242" spans="1:12" s="39" customFormat="1">
      <c r="A242" s="38"/>
      <c r="B242" s="34"/>
      <c r="C242" s="34"/>
      <c r="D242" s="34"/>
      <c r="E242" s="6" t="s">
        <v>156</v>
      </c>
      <c r="F242" s="31"/>
      <c r="G242" s="31"/>
      <c r="H242" s="31"/>
      <c r="I242" s="31"/>
      <c r="J242" s="31"/>
      <c r="K242" s="31"/>
      <c r="L242" s="31"/>
    </row>
    <row r="243" spans="1:12" ht="27">
      <c r="A243" s="38">
        <v>2851</v>
      </c>
      <c r="B243" s="34" t="s">
        <v>13</v>
      </c>
      <c r="C243" s="34">
        <v>5</v>
      </c>
      <c r="D243" s="34">
        <v>1</v>
      </c>
      <c r="E243" s="7" t="s">
        <v>329</v>
      </c>
      <c r="F243" s="31">
        <f>SUM(G243:H243)</f>
        <v>0</v>
      </c>
      <c r="G243" s="31"/>
      <c r="H243" s="31"/>
      <c r="I243" s="31">
        <v>0</v>
      </c>
      <c r="J243" s="31">
        <v>0</v>
      </c>
      <c r="K243" s="31">
        <v>0</v>
      </c>
      <c r="L243" s="31">
        <v>0</v>
      </c>
    </row>
    <row r="244" spans="1:12" ht="27">
      <c r="A244" s="38">
        <v>2860</v>
      </c>
      <c r="B244" s="34" t="s">
        <v>13</v>
      </c>
      <c r="C244" s="34">
        <v>6</v>
      </c>
      <c r="D244" s="34">
        <v>0</v>
      </c>
      <c r="E244" s="7" t="s">
        <v>330</v>
      </c>
      <c r="F244" s="31">
        <f>+F246</f>
        <v>37201.24</v>
      </c>
      <c r="G244" s="31">
        <f t="shared" ref="G244:L244" si="15">+G246</f>
        <v>37201.24</v>
      </c>
      <c r="H244" s="31">
        <f t="shared" si="15"/>
        <v>0</v>
      </c>
      <c r="I244" s="31">
        <f t="shared" si="15"/>
        <v>11058.678095238096</v>
      </c>
      <c r="J244" s="31">
        <f t="shared" si="15"/>
        <v>20063.740158730157</v>
      </c>
      <c r="K244" s="31">
        <f t="shared" si="15"/>
        <v>29806.922063492064</v>
      </c>
      <c r="L244" s="31">
        <f t="shared" si="15"/>
        <v>37201.24</v>
      </c>
    </row>
    <row r="245" spans="1:12" s="39" customFormat="1">
      <c r="A245" s="38"/>
      <c r="B245" s="34"/>
      <c r="C245" s="34"/>
      <c r="D245" s="34"/>
      <c r="E245" s="6" t="s">
        <v>156</v>
      </c>
      <c r="F245" s="31"/>
      <c r="G245" s="31"/>
      <c r="H245" s="31"/>
      <c r="I245" s="31"/>
      <c r="J245" s="31"/>
      <c r="K245" s="31"/>
      <c r="L245" s="31"/>
    </row>
    <row r="246" spans="1:12" ht="27">
      <c r="A246" s="38">
        <v>2861</v>
      </c>
      <c r="B246" s="34" t="s">
        <v>13</v>
      </c>
      <c r="C246" s="34">
        <v>6</v>
      </c>
      <c r="D246" s="34">
        <v>1</v>
      </c>
      <c r="E246" s="7" t="s">
        <v>330</v>
      </c>
      <c r="F246" s="31">
        <f>+'4.Gorcarakan ev tntesagitakan'!H632</f>
        <v>37201.24</v>
      </c>
      <c r="G246" s="31">
        <f>+'4.Gorcarakan ev tntesagitakan'!I632</f>
        <v>37201.24</v>
      </c>
      <c r="H246" s="31"/>
      <c r="I246" s="31">
        <f>+'4.Gorcarakan ev tntesagitakan'!K632</f>
        <v>11058.678095238096</v>
      </c>
      <c r="J246" s="31">
        <f>+'4.Gorcarakan ev tntesagitakan'!L632</f>
        <v>20063.740158730157</v>
      </c>
      <c r="K246" s="31">
        <f>+'4.Gorcarakan ev tntesagitakan'!M632</f>
        <v>29806.922063492064</v>
      </c>
      <c r="L246" s="31">
        <f>+'4.Gorcarakan ev tntesagitakan'!N632</f>
        <v>37201.24</v>
      </c>
    </row>
    <row r="247" spans="1:12" s="36" customFormat="1" ht="40.5">
      <c r="A247" s="38">
        <v>2900</v>
      </c>
      <c r="B247" s="34" t="s">
        <v>14</v>
      </c>
      <c r="C247" s="34">
        <v>0</v>
      </c>
      <c r="D247" s="34">
        <v>0</v>
      </c>
      <c r="E247" s="6" t="s">
        <v>331</v>
      </c>
      <c r="F247" s="31">
        <f>+F249+F253+F257+F261+F265+F269+F272+F275</f>
        <v>1012604.755</v>
      </c>
      <c r="G247" s="31">
        <f t="shared" ref="G247:L247" si="16">+G249+G253+G257+G261+G265+G269+G272+G275</f>
        <v>1002604.755</v>
      </c>
      <c r="H247" s="31">
        <f t="shared" si="16"/>
        <v>10000</v>
      </c>
      <c r="I247" s="31">
        <f t="shared" si="16"/>
        <v>243210.76071428551</v>
      </c>
      <c r="J247" s="31">
        <f t="shared" si="16"/>
        <v>492814.55577380856</v>
      </c>
      <c r="K247" s="31">
        <f t="shared" si="16"/>
        <v>793386.02890873014</v>
      </c>
      <c r="L247" s="31">
        <f t="shared" si="16"/>
        <v>1012604.755</v>
      </c>
    </row>
    <row r="248" spans="1:12">
      <c r="A248" s="33"/>
      <c r="B248" s="34"/>
      <c r="C248" s="34"/>
      <c r="D248" s="34"/>
      <c r="E248" s="6" t="s">
        <v>154</v>
      </c>
      <c r="F248" s="31"/>
      <c r="G248" s="31"/>
      <c r="H248" s="31"/>
      <c r="I248" s="31">
        <v>0</v>
      </c>
      <c r="J248" s="31">
        <v>0</v>
      </c>
      <c r="K248" s="31">
        <v>0</v>
      </c>
      <c r="L248" s="31">
        <v>0</v>
      </c>
    </row>
    <row r="249" spans="1:12" ht="27">
      <c r="A249" s="38">
        <v>2910</v>
      </c>
      <c r="B249" s="34" t="s">
        <v>14</v>
      </c>
      <c r="C249" s="34">
        <v>1</v>
      </c>
      <c r="D249" s="34">
        <v>0</v>
      </c>
      <c r="E249" s="6" t="s">
        <v>332</v>
      </c>
      <c r="F249" s="31">
        <f>+F251</f>
        <v>854582</v>
      </c>
      <c r="G249" s="31">
        <f t="shared" ref="G249:L249" si="17">+G251</f>
        <v>854582</v>
      </c>
      <c r="H249" s="31">
        <f t="shared" si="17"/>
        <v>0</v>
      </c>
      <c r="I249" s="31">
        <f t="shared" si="17"/>
        <v>212043.33333333358</v>
      </c>
      <c r="J249" s="31">
        <f t="shared" si="17"/>
        <v>427620.72222222202</v>
      </c>
      <c r="K249" s="31">
        <f t="shared" si="17"/>
        <v>678677.91269841266</v>
      </c>
      <c r="L249" s="31">
        <f t="shared" si="17"/>
        <v>854582</v>
      </c>
    </row>
    <row r="250" spans="1:12" s="39" customFormat="1">
      <c r="A250" s="38"/>
      <c r="B250" s="34"/>
      <c r="C250" s="34"/>
      <c r="D250" s="34"/>
      <c r="E250" s="6" t="s">
        <v>156</v>
      </c>
      <c r="F250" s="31"/>
      <c r="G250" s="31"/>
      <c r="H250" s="31"/>
      <c r="I250" s="31"/>
      <c r="J250" s="31"/>
      <c r="K250" s="31"/>
      <c r="L250" s="31"/>
    </row>
    <row r="251" spans="1:12">
      <c r="A251" s="38">
        <v>2911</v>
      </c>
      <c r="B251" s="34" t="s">
        <v>14</v>
      </c>
      <c r="C251" s="34">
        <v>1</v>
      </c>
      <c r="D251" s="34">
        <v>1</v>
      </c>
      <c r="E251" s="6" t="s">
        <v>333</v>
      </c>
      <c r="F251" s="31">
        <f>+'4.Gorcarakan ev tntesagitakan'!H643</f>
        <v>854582</v>
      </c>
      <c r="G251" s="31">
        <f>+'4.Gorcarakan ev tntesagitakan'!I643</f>
        <v>854582</v>
      </c>
      <c r="H251" s="31">
        <f>+'4.Gorcarakan ev tntesagitakan'!J643</f>
        <v>0</v>
      </c>
      <c r="I251" s="31">
        <f>+'4.Gorcarakan ev tntesagitakan'!K643</f>
        <v>212043.33333333358</v>
      </c>
      <c r="J251" s="31">
        <f>+'4.Gorcarakan ev tntesagitakan'!L643</f>
        <v>427620.72222222202</v>
      </c>
      <c r="K251" s="31">
        <f>+'4.Gorcarakan ev tntesagitakan'!M643</f>
        <v>678677.91269841266</v>
      </c>
      <c r="L251" s="31">
        <f>+'4.Gorcarakan ev tntesagitakan'!N643</f>
        <v>854582</v>
      </c>
    </row>
    <row r="252" spans="1:12">
      <c r="A252" s="38">
        <v>2912</v>
      </c>
      <c r="B252" s="34" t="s">
        <v>14</v>
      </c>
      <c r="C252" s="34">
        <v>1</v>
      </c>
      <c r="D252" s="34">
        <v>2</v>
      </c>
      <c r="E252" s="6" t="s">
        <v>334</v>
      </c>
      <c r="F252" s="31">
        <f>SUM(G252:H252)</f>
        <v>0</v>
      </c>
      <c r="G252" s="31"/>
      <c r="H252" s="31"/>
      <c r="I252" s="31">
        <v>0</v>
      </c>
      <c r="J252" s="31">
        <v>0</v>
      </c>
      <c r="K252" s="31">
        <v>0</v>
      </c>
      <c r="L252" s="31">
        <v>0</v>
      </c>
    </row>
    <row r="253" spans="1:12">
      <c r="A253" s="38">
        <v>2920</v>
      </c>
      <c r="B253" s="34" t="s">
        <v>14</v>
      </c>
      <c r="C253" s="34">
        <v>2</v>
      </c>
      <c r="D253" s="34">
        <v>0</v>
      </c>
      <c r="E253" s="6" t="s">
        <v>335</v>
      </c>
      <c r="F253" s="31">
        <f>SUM(F255:F256)</f>
        <v>0</v>
      </c>
      <c r="G253" s="31">
        <f>SUM(G255:G256)</f>
        <v>0</v>
      </c>
      <c r="H253" s="31">
        <f>SUM(H255:H256)</f>
        <v>0</v>
      </c>
      <c r="I253" s="31">
        <v>0</v>
      </c>
      <c r="J253" s="31">
        <v>0</v>
      </c>
      <c r="K253" s="31">
        <v>0</v>
      </c>
      <c r="L253" s="31">
        <v>0</v>
      </c>
    </row>
    <row r="254" spans="1:12" s="39" customFormat="1">
      <c r="A254" s="38"/>
      <c r="B254" s="34"/>
      <c r="C254" s="34"/>
      <c r="D254" s="34"/>
      <c r="E254" s="6" t="s">
        <v>156</v>
      </c>
      <c r="F254" s="31"/>
      <c r="G254" s="31"/>
      <c r="H254" s="31"/>
      <c r="I254" s="31"/>
      <c r="J254" s="31"/>
      <c r="K254" s="31"/>
      <c r="L254" s="31"/>
    </row>
    <row r="255" spans="1:12">
      <c r="A255" s="38">
        <v>2921</v>
      </c>
      <c r="B255" s="34" t="s">
        <v>14</v>
      </c>
      <c r="C255" s="34">
        <v>2</v>
      </c>
      <c r="D255" s="34">
        <v>1</v>
      </c>
      <c r="E255" s="6" t="s">
        <v>336</v>
      </c>
      <c r="F255" s="31">
        <f>SUM(G255:H255)</f>
        <v>0</v>
      </c>
      <c r="G255" s="31"/>
      <c r="H255" s="31"/>
      <c r="I255" s="31">
        <v>0</v>
      </c>
      <c r="J255" s="31">
        <v>0</v>
      </c>
      <c r="K255" s="31">
        <v>0</v>
      </c>
      <c r="L255" s="31">
        <v>0</v>
      </c>
    </row>
    <row r="256" spans="1:12">
      <c r="A256" s="38">
        <v>2922</v>
      </c>
      <c r="B256" s="34" t="s">
        <v>14</v>
      </c>
      <c r="C256" s="34">
        <v>2</v>
      </c>
      <c r="D256" s="34">
        <v>2</v>
      </c>
      <c r="E256" s="6" t="s">
        <v>337</v>
      </c>
      <c r="F256" s="31">
        <f>SUM(G256:H256)</f>
        <v>0</v>
      </c>
      <c r="G256" s="31"/>
      <c r="H256" s="31"/>
      <c r="I256" s="31">
        <v>0</v>
      </c>
      <c r="J256" s="31">
        <v>0</v>
      </c>
      <c r="K256" s="31">
        <v>0</v>
      </c>
      <c r="L256" s="31">
        <v>0</v>
      </c>
    </row>
    <row r="257" spans="1:12" ht="40.5">
      <c r="A257" s="38">
        <v>2930</v>
      </c>
      <c r="B257" s="34" t="s">
        <v>14</v>
      </c>
      <c r="C257" s="34">
        <v>3</v>
      </c>
      <c r="D257" s="34">
        <v>0</v>
      </c>
      <c r="E257" s="6" t="s">
        <v>338</v>
      </c>
      <c r="F257" s="31">
        <f>SUM(F259:F260)</f>
        <v>0</v>
      </c>
      <c r="G257" s="31">
        <f>SUM(G259:G260)</f>
        <v>0</v>
      </c>
      <c r="H257" s="31">
        <f>SUM(H259:H260)</f>
        <v>0</v>
      </c>
      <c r="I257" s="31">
        <v>0</v>
      </c>
      <c r="J257" s="31">
        <v>0</v>
      </c>
      <c r="K257" s="31">
        <v>0</v>
      </c>
      <c r="L257" s="31">
        <v>0</v>
      </c>
    </row>
    <row r="258" spans="1:12" s="39" customFormat="1">
      <c r="A258" s="38"/>
      <c r="B258" s="34"/>
      <c r="C258" s="34"/>
      <c r="D258" s="34"/>
      <c r="E258" s="6" t="s">
        <v>156</v>
      </c>
      <c r="F258" s="31"/>
      <c r="G258" s="31"/>
      <c r="H258" s="31"/>
      <c r="I258" s="31"/>
      <c r="J258" s="31"/>
      <c r="K258" s="31"/>
      <c r="L258" s="31"/>
    </row>
    <row r="259" spans="1:12" ht="27">
      <c r="A259" s="38">
        <v>2931</v>
      </c>
      <c r="B259" s="34" t="s">
        <v>14</v>
      </c>
      <c r="C259" s="34">
        <v>3</v>
      </c>
      <c r="D259" s="34">
        <v>1</v>
      </c>
      <c r="E259" s="6" t="s">
        <v>339</v>
      </c>
      <c r="F259" s="31">
        <f>SUM(G259:H259)</f>
        <v>0</v>
      </c>
      <c r="G259" s="31"/>
      <c r="H259" s="31"/>
      <c r="I259" s="31">
        <v>0</v>
      </c>
      <c r="J259" s="31">
        <v>0</v>
      </c>
      <c r="K259" s="31">
        <v>0</v>
      </c>
      <c r="L259" s="31">
        <v>0</v>
      </c>
    </row>
    <row r="260" spans="1:12">
      <c r="A260" s="38">
        <v>2932</v>
      </c>
      <c r="B260" s="34" t="s">
        <v>14</v>
      </c>
      <c r="C260" s="34">
        <v>3</v>
      </c>
      <c r="D260" s="34">
        <v>2</v>
      </c>
      <c r="E260" s="6" t="s">
        <v>340</v>
      </c>
      <c r="F260" s="31">
        <f>SUM(G260:H260)</f>
        <v>0</v>
      </c>
      <c r="G260" s="31"/>
      <c r="H260" s="31"/>
      <c r="I260" s="31">
        <v>0</v>
      </c>
      <c r="J260" s="31">
        <v>0</v>
      </c>
      <c r="K260" s="31">
        <v>0</v>
      </c>
      <c r="L260" s="31">
        <v>0</v>
      </c>
    </row>
    <row r="261" spans="1:12">
      <c r="A261" s="38">
        <v>2940</v>
      </c>
      <c r="B261" s="34" t="s">
        <v>14</v>
      </c>
      <c r="C261" s="34">
        <v>4</v>
      </c>
      <c r="D261" s="34">
        <v>0</v>
      </c>
      <c r="E261" s="6" t="s">
        <v>341</v>
      </c>
      <c r="F261" s="31">
        <f>SUM(F263:F264)</f>
        <v>0</v>
      </c>
      <c r="G261" s="31">
        <f>SUM(G263:G264)</f>
        <v>0</v>
      </c>
      <c r="H261" s="31">
        <f>SUM(H263:H264)</f>
        <v>0</v>
      </c>
      <c r="I261" s="31">
        <v>0</v>
      </c>
      <c r="J261" s="31">
        <v>0</v>
      </c>
      <c r="K261" s="31">
        <v>0</v>
      </c>
      <c r="L261" s="31">
        <v>0</v>
      </c>
    </row>
    <row r="262" spans="1:12" s="39" customFormat="1">
      <c r="A262" s="38"/>
      <c r="B262" s="34"/>
      <c r="C262" s="34"/>
      <c r="D262" s="34"/>
      <c r="E262" s="6" t="s">
        <v>156</v>
      </c>
      <c r="F262" s="31"/>
      <c r="G262" s="31"/>
      <c r="H262" s="31"/>
      <c r="I262" s="31"/>
      <c r="J262" s="31"/>
      <c r="K262" s="31"/>
      <c r="L262" s="31"/>
    </row>
    <row r="263" spans="1:12">
      <c r="A263" s="38">
        <v>2941</v>
      </c>
      <c r="B263" s="34" t="s">
        <v>14</v>
      </c>
      <c r="C263" s="34">
        <v>4</v>
      </c>
      <c r="D263" s="34">
        <v>1</v>
      </c>
      <c r="E263" s="6" t="s">
        <v>342</v>
      </c>
      <c r="F263" s="31">
        <f>SUM(G263:H263)</f>
        <v>0</v>
      </c>
      <c r="G263" s="31"/>
      <c r="H263" s="31"/>
      <c r="I263" s="31">
        <v>0</v>
      </c>
      <c r="J263" s="31">
        <v>0</v>
      </c>
      <c r="K263" s="31">
        <v>0</v>
      </c>
      <c r="L263" s="31">
        <v>0</v>
      </c>
    </row>
    <row r="264" spans="1:12">
      <c r="A264" s="38">
        <v>2942</v>
      </c>
      <c r="B264" s="34" t="s">
        <v>14</v>
      </c>
      <c r="C264" s="34">
        <v>4</v>
      </c>
      <c r="D264" s="34">
        <v>2</v>
      </c>
      <c r="E264" s="6" t="s">
        <v>343</v>
      </c>
      <c r="F264" s="31">
        <f>SUM(G264:H264)</f>
        <v>0</v>
      </c>
      <c r="G264" s="31"/>
      <c r="H264" s="31"/>
      <c r="I264" s="31">
        <v>0</v>
      </c>
      <c r="J264" s="31">
        <v>0</v>
      </c>
      <c r="K264" s="31">
        <v>0</v>
      </c>
      <c r="L264" s="31">
        <v>0</v>
      </c>
    </row>
    <row r="265" spans="1:12">
      <c r="A265" s="38">
        <v>2950</v>
      </c>
      <c r="B265" s="34" t="s">
        <v>14</v>
      </c>
      <c r="C265" s="34">
        <v>5</v>
      </c>
      <c r="D265" s="34">
        <v>0</v>
      </c>
      <c r="E265" s="6" t="s">
        <v>344</v>
      </c>
      <c r="F265" s="31">
        <f>SUM(F267:F268)</f>
        <v>0</v>
      </c>
      <c r="G265" s="31">
        <f>SUM(G267:G268)</f>
        <v>0</v>
      </c>
      <c r="H265" s="31">
        <f>SUM(H267:H268)</f>
        <v>0</v>
      </c>
      <c r="I265" s="31">
        <v>0</v>
      </c>
      <c r="J265" s="31">
        <v>0</v>
      </c>
      <c r="K265" s="31">
        <v>0</v>
      </c>
      <c r="L265" s="31">
        <v>0</v>
      </c>
    </row>
    <row r="266" spans="1:12" s="39" customFormat="1">
      <c r="A266" s="38"/>
      <c r="B266" s="34"/>
      <c r="C266" s="34"/>
      <c r="D266" s="34"/>
      <c r="E266" s="6" t="s">
        <v>156</v>
      </c>
      <c r="F266" s="31"/>
      <c r="G266" s="31"/>
      <c r="H266" s="31"/>
      <c r="I266" s="31"/>
      <c r="J266" s="31"/>
      <c r="K266" s="31"/>
      <c r="L266" s="31"/>
    </row>
    <row r="267" spans="1:12">
      <c r="A267" s="38">
        <v>2951</v>
      </c>
      <c r="B267" s="34" t="s">
        <v>14</v>
      </c>
      <c r="C267" s="34">
        <v>5</v>
      </c>
      <c r="D267" s="34">
        <v>1</v>
      </c>
      <c r="E267" s="6" t="s">
        <v>345</v>
      </c>
      <c r="F267" s="31">
        <f>SUM(G267:H267)</f>
        <v>0</v>
      </c>
      <c r="G267" s="31"/>
      <c r="H267" s="31"/>
      <c r="I267" s="31">
        <v>0</v>
      </c>
      <c r="J267" s="31">
        <v>0</v>
      </c>
      <c r="K267" s="31">
        <v>0</v>
      </c>
      <c r="L267" s="31">
        <v>0</v>
      </c>
    </row>
    <row r="268" spans="1:12">
      <c r="A268" s="38">
        <v>2952</v>
      </c>
      <c r="B268" s="34" t="s">
        <v>14</v>
      </c>
      <c r="C268" s="34">
        <v>5</v>
      </c>
      <c r="D268" s="34">
        <v>2</v>
      </c>
      <c r="E268" s="6" t="s">
        <v>346</v>
      </c>
      <c r="F268" s="31">
        <f>SUM(G268:H268)</f>
        <v>0</v>
      </c>
      <c r="G268" s="31"/>
      <c r="H268" s="31"/>
      <c r="I268" s="31">
        <v>0</v>
      </c>
      <c r="J268" s="31">
        <v>0</v>
      </c>
      <c r="K268" s="31">
        <v>0</v>
      </c>
      <c r="L268" s="31">
        <v>0</v>
      </c>
    </row>
    <row r="269" spans="1:12" ht="27">
      <c r="A269" s="38">
        <v>2960</v>
      </c>
      <c r="B269" s="34" t="s">
        <v>14</v>
      </c>
      <c r="C269" s="34">
        <v>6</v>
      </c>
      <c r="D269" s="34">
        <v>0</v>
      </c>
      <c r="E269" s="6" t="s">
        <v>347</v>
      </c>
      <c r="F269" s="31">
        <f>+'4.Gorcarakan ev tntesagitakan'!H691</f>
        <v>158022.755</v>
      </c>
      <c r="G269" s="31">
        <f>+'4.Gorcarakan ev tntesagitakan'!I691</f>
        <v>148022.755</v>
      </c>
      <c r="H269" s="31">
        <f>+'4.Gorcarakan ev tntesagitakan'!J691</f>
        <v>10000</v>
      </c>
      <c r="I269" s="31">
        <f>+'4.Gorcarakan ev tntesagitakan'!K691</f>
        <v>31167.427380951947</v>
      </c>
      <c r="J269" s="31">
        <f>+'4.Gorcarakan ev tntesagitakan'!L691</f>
        <v>65193.833551586562</v>
      </c>
      <c r="K269" s="31">
        <f>+'4.Gorcarakan ev tntesagitakan'!M691</f>
        <v>114708.1162103175</v>
      </c>
      <c r="L269" s="31">
        <f>+'4.Gorcarakan ev tntesagitakan'!N691</f>
        <v>158022.755</v>
      </c>
    </row>
    <row r="270" spans="1:12" s="39" customFormat="1">
      <c r="A270" s="38"/>
      <c r="B270" s="34"/>
      <c r="C270" s="34"/>
      <c r="D270" s="34"/>
      <c r="E270" s="6" t="s">
        <v>156</v>
      </c>
      <c r="F270" s="31"/>
      <c r="G270" s="31"/>
      <c r="H270" s="31"/>
      <c r="I270" s="31"/>
      <c r="J270" s="31"/>
      <c r="K270" s="31"/>
      <c r="L270" s="31"/>
    </row>
    <row r="271" spans="1:12" ht="27">
      <c r="A271" s="40">
        <v>2961</v>
      </c>
      <c r="B271" s="34" t="s">
        <v>14</v>
      </c>
      <c r="C271" s="34">
        <v>6</v>
      </c>
      <c r="D271" s="34">
        <v>1</v>
      </c>
      <c r="E271" s="6" t="s">
        <v>347</v>
      </c>
      <c r="F271" s="31">
        <f>+'4.Gorcarakan ev tntesagitakan'!H693</f>
        <v>158022.755</v>
      </c>
      <c r="G271" s="31">
        <f>+'4.Gorcarakan ev tntesagitakan'!I693</f>
        <v>148022.755</v>
      </c>
      <c r="H271" s="31">
        <f>+'4.Gorcarakan ev tntesagitakan'!J693</f>
        <v>10000</v>
      </c>
      <c r="I271" s="31">
        <f>+'4.Gorcarakan ev tntesagitakan'!K693</f>
        <v>31167.427380951947</v>
      </c>
      <c r="J271" s="31">
        <f>+'4.Gorcarakan ev tntesagitakan'!L693</f>
        <v>65193.833551586562</v>
      </c>
      <c r="K271" s="31">
        <f>+'4.Gorcarakan ev tntesagitakan'!M693</f>
        <v>114708.1162103175</v>
      </c>
      <c r="L271" s="31">
        <f>+'4.Gorcarakan ev tntesagitakan'!N693</f>
        <v>158022.755</v>
      </c>
    </row>
    <row r="272" spans="1:12" ht="27">
      <c r="A272" s="40">
        <v>2970</v>
      </c>
      <c r="B272" s="34" t="s">
        <v>14</v>
      </c>
      <c r="C272" s="34">
        <v>7</v>
      </c>
      <c r="D272" s="34">
        <v>0</v>
      </c>
      <c r="E272" s="6" t="s">
        <v>348</v>
      </c>
      <c r="F272" s="31">
        <f>SUM(F274)</f>
        <v>0</v>
      </c>
      <c r="G272" s="31">
        <f>SUM(G274)</f>
        <v>0</v>
      </c>
      <c r="H272" s="31">
        <f>SUM(H274)</f>
        <v>0</v>
      </c>
      <c r="I272" s="31">
        <v>0</v>
      </c>
      <c r="J272" s="31">
        <v>0</v>
      </c>
      <c r="K272" s="31">
        <v>0</v>
      </c>
      <c r="L272" s="31">
        <v>0</v>
      </c>
    </row>
    <row r="273" spans="1:12" s="39" customFormat="1">
      <c r="A273" s="40"/>
      <c r="B273" s="34"/>
      <c r="C273" s="34"/>
      <c r="D273" s="34"/>
      <c r="E273" s="6" t="s">
        <v>156</v>
      </c>
      <c r="F273" s="31"/>
      <c r="G273" s="31"/>
      <c r="H273" s="31"/>
      <c r="I273" s="31"/>
      <c r="J273" s="31"/>
      <c r="K273" s="31"/>
      <c r="L273" s="31"/>
    </row>
    <row r="274" spans="1:12" ht="27">
      <c r="A274" s="40">
        <v>2971</v>
      </c>
      <c r="B274" s="34" t="s">
        <v>14</v>
      </c>
      <c r="C274" s="34">
        <v>7</v>
      </c>
      <c r="D274" s="34">
        <v>1</v>
      </c>
      <c r="E274" s="6" t="s">
        <v>348</v>
      </c>
      <c r="F274" s="31">
        <f>SUM(G274:H274)</f>
        <v>0</v>
      </c>
      <c r="G274" s="31"/>
      <c r="H274" s="31"/>
      <c r="I274" s="31">
        <v>0</v>
      </c>
      <c r="J274" s="31">
        <v>0</v>
      </c>
      <c r="K274" s="31">
        <v>0</v>
      </c>
      <c r="L274" s="31">
        <v>0</v>
      </c>
    </row>
    <row r="275" spans="1:12">
      <c r="A275" s="40">
        <v>2980</v>
      </c>
      <c r="B275" s="34" t="s">
        <v>14</v>
      </c>
      <c r="C275" s="34">
        <v>8</v>
      </c>
      <c r="D275" s="34">
        <v>0</v>
      </c>
      <c r="E275" s="6" t="s">
        <v>349</v>
      </c>
      <c r="F275" s="31">
        <f>SUM(F277)</f>
        <v>0</v>
      </c>
      <c r="G275" s="31">
        <f>SUM(G277)</f>
        <v>0</v>
      </c>
      <c r="H275" s="31">
        <f>SUM(H277)</f>
        <v>0</v>
      </c>
      <c r="I275" s="31">
        <v>0</v>
      </c>
      <c r="J275" s="31">
        <v>0</v>
      </c>
      <c r="K275" s="31">
        <v>0</v>
      </c>
      <c r="L275" s="31">
        <v>0</v>
      </c>
    </row>
    <row r="276" spans="1:12" s="39" customFormat="1">
      <c r="A276" s="40"/>
      <c r="B276" s="34"/>
      <c r="C276" s="34"/>
      <c r="D276" s="34"/>
      <c r="E276" s="6" t="s">
        <v>156</v>
      </c>
      <c r="F276" s="31"/>
      <c r="G276" s="31"/>
      <c r="H276" s="31"/>
      <c r="I276" s="31"/>
      <c r="J276" s="31"/>
      <c r="K276" s="31"/>
      <c r="L276" s="31"/>
    </row>
    <row r="277" spans="1:12">
      <c r="A277" s="40">
        <v>2981</v>
      </c>
      <c r="B277" s="34" t="s">
        <v>14</v>
      </c>
      <c r="C277" s="34">
        <v>8</v>
      </c>
      <c r="D277" s="34">
        <v>1</v>
      </c>
      <c r="E277" s="6" t="s">
        <v>349</v>
      </c>
      <c r="F277" s="31">
        <f>SUM(G277:H277)</f>
        <v>0</v>
      </c>
      <c r="G277" s="31"/>
      <c r="H277" s="31"/>
      <c r="I277" s="31">
        <v>0</v>
      </c>
      <c r="J277" s="31">
        <v>0</v>
      </c>
      <c r="K277" s="31">
        <v>0</v>
      </c>
      <c r="L277" s="31">
        <v>0</v>
      </c>
    </row>
    <row r="278" spans="1:12" s="36" customFormat="1" ht="40.5">
      <c r="A278" s="40">
        <v>3000</v>
      </c>
      <c r="B278" s="34" t="s">
        <v>15</v>
      </c>
      <c r="C278" s="34">
        <v>0</v>
      </c>
      <c r="D278" s="34">
        <v>0</v>
      </c>
      <c r="E278" s="6" t="s">
        <v>350</v>
      </c>
      <c r="F278" s="31">
        <f>+F280+F284+F287+F290+F293+F296+F299+F302+F306</f>
        <v>50306</v>
      </c>
      <c r="G278" s="31">
        <f t="shared" ref="G278:L278" si="18">+G280+G284+G287+G290+G293+G296+G299+G302+G306</f>
        <v>50306</v>
      </c>
      <c r="H278" s="31">
        <f t="shared" si="18"/>
        <v>0</v>
      </c>
      <c r="I278" s="31">
        <f t="shared" si="18"/>
        <v>2321.7142857142858</v>
      </c>
      <c r="J278" s="31">
        <f t="shared" si="18"/>
        <v>8737.0555555555547</v>
      </c>
      <c r="K278" s="31">
        <f>+K280+K284+K287+K290+K293+K296+K299+K302+K306</f>
        <v>23626.722222222219</v>
      </c>
      <c r="L278" s="31">
        <f t="shared" si="18"/>
        <v>50306</v>
      </c>
    </row>
    <row r="279" spans="1:12">
      <c r="A279" s="40"/>
      <c r="B279" s="34"/>
      <c r="C279" s="34"/>
      <c r="D279" s="34"/>
      <c r="E279" s="6" t="s">
        <v>154</v>
      </c>
      <c r="F279" s="31"/>
      <c r="G279" s="31"/>
      <c r="H279" s="31"/>
      <c r="I279" s="31"/>
      <c r="J279" s="31"/>
      <c r="K279" s="31"/>
      <c r="L279" s="31"/>
    </row>
    <row r="280" spans="1:12">
      <c r="A280" s="40">
        <v>3010</v>
      </c>
      <c r="B280" s="34" t="s">
        <v>15</v>
      </c>
      <c r="C280" s="34">
        <v>1</v>
      </c>
      <c r="D280" s="34">
        <v>0</v>
      </c>
      <c r="E280" s="6" t="s">
        <v>351</v>
      </c>
      <c r="F280" s="31">
        <f>SUM(F282:F283)</f>
        <v>0</v>
      </c>
      <c r="G280" s="31">
        <f>SUM(G282:G283)</f>
        <v>0</v>
      </c>
      <c r="H280" s="31">
        <f>SUM(H282:H283)</f>
        <v>0</v>
      </c>
      <c r="I280" s="31">
        <v>0</v>
      </c>
      <c r="J280" s="31">
        <v>0</v>
      </c>
      <c r="K280" s="31">
        <v>0</v>
      </c>
      <c r="L280" s="31">
        <v>0</v>
      </c>
    </row>
    <row r="281" spans="1:12" s="39" customFormat="1">
      <c r="A281" s="40"/>
      <c r="B281" s="34"/>
      <c r="C281" s="34"/>
      <c r="D281" s="34"/>
      <c r="E281" s="6" t="s">
        <v>156</v>
      </c>
      <c r="F281" s="31"/>
      <c r="G281" s="31"/>
      <c r="H281" s="31"/>
      <c r="I281" s="31"/>
      <c r="J281" s="31"/>
      <c r="K281" s="31"/>
      <c r="L281" s="31"/>
    </row>
    <row r="282" spans="1:12">
      <c r="A282" s="40">
        <v>3011</v>
      </c>
      <c r="B282" s="34" t="s">
        <v>15</v>
      </c>
      <c r="C282" s="34">
        <v>1</v>
      </c>
      <c r="D282" s="34">
        <v>1</v>
      </c>
      <c r="E282" s="6" t="s">
        <v>352</v>
      </c>
      <c r="F282" s="31">
        <f>SUM(G282:H282)</f>
        <v>0</v>
      </c>
      <c r="G282" s="31"/>
      <c r="H282" s="31"/>
      <c r="I282" s="31">
        <v>0</v>
      </c>
      <c r="J282" s="31">
        <v>0</v>
      </c>
      <c r="K282" s="31">
        <v>0</v>
      </c>
      <c r="L282" s="31">
        <v>0</v>
      </c>
    </row>
    <row r="283" spans="1:12">
      <c r="A283" s="40">
        <v>3012</v>
      </c>
      <c r="B283" s="34" t="s">
        <v>15</v>
      </c>
      <c r="C283" s="34">
        <v>1</v>
      </c>
      <c r="D283" s="34">
        <v>2</v>
      </c>
      <c r="E283" s="6" t="s">
        <v>353</v>
      </c>
      <c r="F283" s="31">
        <f>SUM(G283:H283)</f>
        <v>0</v>
      </c>
      <c r="G283" s="31"/>
      <c r="H283" s="31"/>
      <c r="I283" s="31">
        <v>0</v>
      </c>
      <c r="J283" s="31">
        <v>0</v>
      </c>
      <c r="K283" s="31">
        <v>0</v>
      </c>
      <c r="L283" s="31">
        <v>0</v>
      </c>
    </row>
    <row r="284" spans="1:12">
      <c r="A284" s="40">
        <v>3020</v>
      </c>
      <c r="B284" s="34" t="s">
        <v>15</v>
      </c>
      <c r="C284" s="34">
        <v>2</v>
      </c>
      <c r="D284" s="34">
        <v>0</v>
      </c>
      <c r="E284" s="6" t="s">
        <v>354</v>
      </c>
      <c r="F284" s="31">
        <f>SUM(F286)</f>
        <v>0</v>
      </c>
      <c r="G284" s="31">
        <f>SUM(G286)</f>
        <v>0</v>
      </c>
      <c r="H284" s="31">
        <f>SUM(H286)</f>
        <v>0</v>
      </c>
      <c r="I284" s="31">
        <v>0</v>
      </c>
      <c r="J284" s="31">
        <v>0</v>
      </c>
      <c r="K284" s="31">
        <v>0</v>
      </c>
      <c r="L284" s="31">
        <v>0</v>
      </c>
    </row>
    <row r="285" spans="1:12" s="39" customFormat="1">
      <c r="A285" s="40"/>
      <c r="B285" s="34"/>
      <c r="C285" s="34"/>
      <c r="D285" s="34"/>
      <c r="E285" s="6" t="s">
        <v>156</v>
      </c>
      <c r="F285" s="31"/>
      <c r="G285" s="31"/>
      <c r="H285" s="31"/>
      <c r="I285" s="31"/>
      <c r="J285" s="31"/>
      <c r="K285" s="31"/>
      <c r="L285" s="31"/>
    </row>
    <row r="286" spans="1:12">
      <c r="A286" s="40">
        <v>3021</v>
      </c>
      <c r="B286" s="34" t="s">
        <v>15</v>
      </c>
      <c r="C286" s="34">
        <v>2</v>
      </c>
      <c r="D286" s="34">
        <v>1</v>
      </c>
      <c r="E286" s="6" t="s">
        <v>354</v>
      </c>
      <c r="F286" s="31">
        <f>SUM(G286:H286)</f>
        <v>0</v>
      </c>
      <c r="G286" s="31"/>
      <c r="H286" s="31"/>
      <c r="I286" s="31">
        <v>0</v>
      </c>
      <c r="J286" s="31">
        <v>0</v>
      </c>
      <c r="K286" s="31">
        <v>0</v>
      </c>
      <c r="L286" s="31">
        <v>0</v>
      </c>
    </row>
    <row r="287" spans="1:12">
      <c r="A287" s="40">
        <v>3030</v>
      </c>
      <c r="B287" s="34" t="s">
        <v>15</v>
      </c>
      <c r="C287" s="34">
        <v>3</v>
      </c>
      <c r="D287" s="34">
        <v>0</v>
      </c>
      <c r="E287" s="6" t="s">
        <v>355</v>
      </c>
      <c r="F287" s="31">
        <f>+F289</f>
        <v>2606</v>
      </c>
      <c r="G287" s="31">
        <f t="shared" ref="G287:L287" si="19">+G289</f>
        <v>2606</v>
      </c>
      <c r="H287" s="31">
        <f t="shared" si="19"/>
        <v>0</v>
      </c>
      <c r="I287" s="31">
        <f t="shared" si="19"/>
        <v>726.47619047619048</v>
      </c>
      <c r="J287" s="31">
        <f t="shared" si="19"/>
        <v>1357.2936507936508</v>
      </c>
      <c r="K287" s="31">
        <f t="shared" si="19"/>
        <v>2039.8174603174605</v>
      </c>
      <c r="L287" s="31">
        <f t="shared" si="19"/>
        <v>2606</v>
      </c>
    </row>
    <row r="288" spans="1:12" s="39" customFormat="1">
      <c r="A288" s="40"/>
      <c r="B288" s="34"/>
      <c r="C288" s="34"/>
      <c r="D288" s="34"/>
      <c r="E288" s="6" t="s">
        <v>156</v>
      </c>
      <c r="F288" s="31"/>
      <c r="G288" s="31"/>
      <c r="H288" s="31"/>
      <c r="I288" s="31"/>
      <c r="J288" s="31"/>
      <c r="K288" s="31"/>
      <c r="L288" s="31"/>
    </row>
    <row r="289" spans="1:12" s="39" customFormat="1">
      <c r="A289" s="40">
        <v>3031</v>
      </c>
      <c r="B289" s="34" t="s">
        <v>15</v>
      </c>
      <c r="C289" s="34">
        <v>3</v>
      </c>
      <c r="D289" s="34" t="s">
        <v>4</v>
      </c>
      <c r="E289" s="6" t="s">
        <v>355</v>
      </c>
      <c r="F289" s="31">
        <f>+'4.Gorcarakan ev tntesagitakan'!H726</f>
        <v>2606</v>
      </c>
      <c r="G289" s="31">
        <f>+'4.Gorcarakan ev tntesagitakan'!I726</f>
        <v>2606</v>
      </c>
      <c r="H289" s="31"/>
      <c r="I289" s="31">
        <f>+'4.Gorcarakan ev tntesagitakan'!K726</f>
        <v>726.47619047619048</v>
      </c>
      <c r="J289" s="31">
        <f>+'4.Gorcarakan ev tntesagitakan'!L726</f>
        <v>1357.2936507936508</v>
      </c>
      <c r="K289" s="31">
        <f>+'4.Gorcarakan ev tntesagitakan'!M726</f>
        <v>2039.8174603174605</v>
      </c>
      <c r="L289" s="31">
        <f>+'4.Gorcarakan ev tntesagitakan'!N726</f>
        <v>2606</v>
      </c>
    </row>
    <row r="290" spans="1:12">
      <c r="A290" s="40">
        <v>3040</v>
      </c>
      <c r="B290" s="34" t="s">
        <v>15</v>
      </c>
      <c r="C290" s="34">
        <v>4</v>
      </c>
      <c r="D290" s="34">
        <v>0</v>
      </c>
      <c r="E290" s="6" t="s">
        <v>356</v>
      </c>
      <c r="F290" s="31">
        <f>+F292</f>
        <v>20000</v>
      </c>
      <c r="G290" s="31">
        <f>+G292</f>
        <v>20000</v>
      </c>
      <c r="H290" s="31">
        <f>+H292</f>
        <v>0</v>
      </c>
      <c r="I290" s="31">
        <f>+'4.Gorcarakan ev tntesagitakan'!K732</f>
        <v>0</v>
      </c>
      <c r="J290" s="31">
        <f>+'4.Gorcarakan ev tntesagitakan'!L732</f>
        <v>0</v>
      </c>
      <c r="K290" s="31">
        <f>+'4.Gorcarakan ev tntesagitakan'!M732</f>
        <v>0</v>
      </c>
      <c r="L290" s="31">
        <f>+'4.Gorcarakan ev tntesagitakan'!N732</f>
        <v>20000</v>
      </c>
    </row>
    <row r="291" spans="1:12" s="39" customFormat="1">
      <c r="A291" s="40"/>
      <c r="B291" s="34"/>
      <c r="C291" s="34"/>
      <c r="D291" s="34"/>
      <c r="E291" s="6" t="s">
        <v>156</v>
      </c>
      <c r="F291" s="31"/>
      <c r="G291" s="31"/>
      <c r="H291" s="31"/>
      <c r="I291" s="31"/>
      <c r="J291" s="31"/>
      <c r="K291" s="31"/>
      <c r="L291" s="31"/>
    </row>
    <row r="292" spans="1:12">
      <c r="A292" s="40">
        <v>3041</v>
      </c>
      <c r="B292" s="34" t="s">
        <v>15</v>
      </c>
      <c r="C292" s="34">
        <v>4</v>
      </c>
      <c r="D292" s="34">
        <v>1</v>
      </c>
      <c r="E292" s="6" t="s">
        <v>356</v>
      </c>
      <c r="F292" s="31">
        <f>+'4.Gorcarakan ev tntesagitakan'!H732</f>
        <v>20000</v>
      </c>
      <c r="G292" s="31">
        <f>+'4.Gorcarakan ev tntesagitakan'!I732</f>
        <v>20000</v>
      </c>
      <c r="H292" s="31">
        <f>+'4.Gorcarakan ev tntesagitakan'!J732</f>
        <v>0</v>
      </c>
      <c r="I292" s="31">
        <f>+'4.Gorcarakan ev tntesagitakan'!K732</f>
        <v>0</v>
      </c>
      <c r="J292" s="31">
        <f>+'4.Gorcarakan ev tntesagitakan'!L732</f>
        <v>0</v>
      </c>
      <c r="K292" s="31">
        <f>+'4.Gorcarakan ev tntesagitakan'!M732</f>
        <v>0</v>
      </c>
      <c r="L292" s="31">
        <f>+'4.Gorcarakan ev tntesagitakan'!N732</f>
        <v>20000</v>
      </c>
    </row>
    <row r="293" spans="1:12">
      <c r="A293" s="40">
        <v>3050</v>
      </c>
      <c r="B293" s="34" t="s">
        <v>15</v>
      </c>
      <c r="C293" s="34">
        <v>5</v>
      </c>
      <c r="D293" s="34">
        <v>0</v>
      </c>
      <c r="E293" s="6" t="s">
        <v>357</v>
      </c>
      <c r="F293" s="31">
        <f>SUM(F295)</f>
        <v>0</v>
      </c>
      <c r="G293" s="31">
        <f>SUM(G295)</f>
        <v>0</v>
      </c>
      <c r="H293" s="31">
        <f>SUM(H295)</f>
        <v>0</v>
      </c>
      <c r="I293" s="31">
        <v>0</v>
      </c>
      <c r="J293" s="31">
        <v>0</v>
      </c>
      <c r="K293" s="31">
        <v>0</v>
      </c>
      <c r="L293" s="31">
        <v>0</v>
      </c>
    </row>
    <row r="294" spans="1:12" s="39" customFormat="1">
      <c r="A294" s="40"/>
      <c r="B294" s="34"/>
      <c r="C294" s="34"/>
      <c r="D294" s="34"/>
      <c r="E294" s="6" t="s">
        <v>156</v>
      </c>
      <c r="F294" s="31"/>
      <c r="G294" s="31"/>
      <c r="H294" s="31"/>
      <c r="I294" s="31"/>
      <c r="J294" s="31"/>
      <c r="K294" s="31"/>
      <c r="L294" s="31"/>
    </row>
    <row r="295" spans="1:12">
      <c r="A295" s="40">
        <v>3051</v>
      </c>
      <c r="B295" s="34" t="s">
        <v>15</v>
      </c>
      <c r="C295" s="34">
        <v>5</v>
      </c>
      <c r="D295" s="34">
        <v>1</v>
      </c>
      <c r="E295" s="6" t="s">
        <v>357</v>
      </c>
      <c r="F295" s="31">
        <f>SUM(G295:H295)</f>
        <v>0</v>
      </c>
      <c r="G295" s="31"/>
      <c r="H295" s="31"/>
      <c r="I295" s="31">
        <v>0</v>
      </c>
      <c r="J295" s="31">
        <v>0</v>
      </c>
      <c r="K295" s="31">
        <v>0</v>
      </c>
      <c r="L295" s="31">
        <v>0</v>
      </c>
    </row>
    <row r="296" spans="1:12">
      <c r="A296" s="40">
        <v>3060</v>
      </c>
      <c r="B296" s="34" t="s">
        <v>15</v>
      </c>
      <c r="C296" s="34">
        <v>6</v>
      </c>
      <c r="D296" s="34">
        <v>0</v>
      </c>
      <c r="E296" s="6" t="s">
        <v>358</v>
      </c>
      <c r="F296" s="31">
        <f>+F298</f>
        <v>1200</v>
      </c>
      <c r="G296" s="31">
        <f t="shared" ref="G296:L296" si="20">+G298</f>
        <v>1200</v>
      </c>
      <c r="H296" s="31">
        <f t="shared" si="20"/>
        <v>0</v>
      </c>
      <c r="I296" s="31">
        <f t="shared" si="20"/>
        <v>285.71428571428572</v>
      </c>
      <c r="J296" s="31">
        <f t="shared" si="20"/>
        <v>576.19047619047615</v>
      </c>
      <c r="K296" s="31">
        <f t="shared" si="20"/>
        <v>890.47619047619048</v>
      </c>
      <c r="L296" s="31">
        <f t="shared" si="20"/>
        <v>1200</v>
      </c>
    </row>
    <row r="297" spans="1:12" s="39" customFormat="1">
      <c r="A297" s="40"/>
      <c r="B297" s="34"/>
      <c r="C297" s="34"/>
      <c r="D297" s="34"/>
      <c r="E297" s="6" t="s">
        <v>156</v>
      </c>
      <c r="F297" s="31"/>
      <c r="G297" s="31"/>
      <c r="H297" s="31"/>
      <c r="I297" s="31"/>
      <c r="J297" s="31"/>
      <c r="K297" s="31"/>
      <c r="L297" s="31"/>
    </row>
    <row r="298" spans="1:12">
      <c r="A298" s="40">
        <v>3061</v>
      </c>
      <c r="B298" s="34" t="s">
        <v>15</v>
      </c>
      <c r="C298" s="34">
        <v>6</v>
      </c>
      <c r="D298" s="34">
        <v>1</v>
      </c>
      <c r="E298" s="6" t="s">
        <v>358</v>
      </c>
      <c r="F298" s="31">
        <f>+'4.Gorcarakan ev tntesagitakan'!H741</f>
        <v>1200</v>
      </c>
      <c r="G298" s="31">
        <f>+'4.Gorcarakan ev tntesagitakan'!I741</f>
        <v>1200</v>
      </c>
      <c r="H298" s="31">
        <f>+'4.Gorcarakan ev tntesagitakan'!J741</f>
        <v>0</v>
      </c>
      <c r="I298" s="31">
        <f>+'4.Gorcarakan ev tntesagitakan'!K741</f>
        <v>285.71428571428572</v>
      </c>
      <c r="J298" s="31">
        <f>+'4.Gorcarakan ev tntesagitakan'!L741</f>
        <v>576.19047619047615</v>
      </c>
      <c r="K298" s="31">
        <f>+'4.Gorcarakan ev tntesagitakan'!M741</f>
        <v>890.47619047619048</v>
      </c>
      <c r="L298" s="31">
        <f>+'4.Gorcarakan ev tntesagitakan'!N741</f>
        <v>1200</v>
      </c>
    </row>
    <row r="299" spans="1:12" ht="27">
      <c r="A299" s="40">
        <v>3070</v>
      </c>
      <c r="B299" s="34" t="s">
        <v>15</v>
      </c>
      <c r="C299" s="34">
        <v>7</v>
      </c>
      <c r="D299" s="34">
        <v>0</v>
      </c>
      <c r="E299" s="6" t="s">
        <v>359</v>
      </c>
      <c r="F299" s="31">
        <f>+F301</f>
        <v>26500</v>
      </c>
      <c r="G299" s="31">
        <f t="shared" ref="G299:L299" si="21">+G301</f>
        <v>26500</v>
      </c>
      <c r="H299" s="31">
        <f t="shared" si="21"/>
        <v>0</v>
      </c>
      <c r="I299" s="31">
        <f t="shared" si="21"/>
        <v>1309.5238095238096</v>
      </c>
      <c r="J299" s="31">
        <f t="shared" si="21"/>
        <v>6803.5714285714275</v>
      </c>
      <c r="K299" s="31">
        <f t="shared" si="21"/>
        <v>20696.428571428569</v>
      </c>
      <c r="L299" s="31">
        <f t="shared" si="21"/>
        <v>26500</v>
      </c>
    </row>
    <row r="300" spans="1:12" s="39" customFormat="1">
      <c r="A300" s="40"/>
      <c r="B300" s="34"/>
      <c r="C300" s="34"/>
      <c r="D300" s="34"/>
      <c r="E300" s="6" t="s">
        <v>156</v>
      </c>
      <c r="F300" s="31"/>
      <c r="G300" s="31"/>
      <c r="H300" s="31"/>
      <c r="I300" s="31"/>
      <c r="J300" s="31"/>
      <c r="K300" s="31"/>
      <c r="L300" s="31"/>
    </row>
    <row r="301" spans="1:12" ht="27">
      <c r="A301" s="40">
        <v>3071</v>
      </c>
      <c r="B301" s="34" t="s">
        <v>15</v>
      </c>
      <c r="C301" s="34">
        <v>7</v>
      </c>
      <c r="D301" s="34">
        <v>1</v>
      </c>
      <c r="E301" s="6" t="s">
        <v>359</v>
      </c>
      <c r="F301" s="31">
        <f>+'4.Gorcarakan ev tntesagitakan'!H748</f>
        <v>26500</v>
      </c>
      <c r="G301" s="31">
        <f>+'4.Gorcarakan ev tntesagitakan'!I748</f>
        <v>26500</v>
      </c>
      <c r="H301" s="31">
        <f>+'4.Gorcarakan ev tntesagitakan'!J748</f>
        <v>0</v>
      </c>
      <c r="I301" s="31">
        <f>+'4.Gorcarakan ev tntesagitakan'!K748</f>
        <v>1309.5238095238096</v>
      </c>
      <c r="J301" s="31">
        <f>+'4.Gorcarakan ev tntesagitakan'!L748</f>
        <v>6803.5714285714275</v>
      </c>
      <c r="K301" s="31">
        <f>+'4.Gorcarakan ev tntesagitakan'!M748</f>
        <v>20696.428571428569</v>
      </c>
      <c r="L301" s="31">
        <f>+'4.Gorcarakan ev tntesagitakan'!N748</f>
        <v>26500</v>
      </c>
    </row>
    <row r="302" spans="1:12" ht="27">
      <c r="A302" s="40">
        <v>3080</v>
      </c>
      <c r="B302" s="34" t="s">
        <v>15</v>
      </c>
      <c r="C302" s="34">
        <v>8</v>
      </c>
      <c r="D302" s="34">
        <v>0</v>
      </c>
      <c r="E302" s="6" t="s">
        <v>360</v>
      </c>
      <c r="F302" s="31">
        <f>SUM(F304)</f>
        <v>0</v>
      </c>
      <c r="G302" s="31">
        <f>SUM(G304)</f>
        <v>0</v>
      </c>
      <c r="H302" s="31">
        <f>SUM(H304)</f>
        <v>0</v>
      </c>
      <c r="I302" s="31">
        <v>0</v>
      </c>
      <c r="J302" s="31">
        <v>0</v>
      </c>
      <c r="K302" s="31">
        <v>0</v>
      </c>
      <c r="L302" s="31">
        <v>0</v>
      </c>
    </row>
    <row r="303" spans="1:12" s="39" customFormat="1">
      <c r="A303" s="40"/>
      <c r="B303" s="34"/>
      <c r="C303" s="34"/>
      <c r="D303" s="34"/>
      <c r="E303" s="6" t="s">
        <v>156</v>
      </c>
      <c r="F303" s="31"/>
      <c r="G303" s="31"/>
      <c r="H303" s="31"/>
      <c r="I303" s="31"/>
      <c r="J303" s="31"/>
      <c r="K303" s="31"/>
      <c r="L303" s="31"/>
    </row>
    <row r="304" spans="1:12" ht="27">
      <c r="A304" s="40">
        <v>3081</v>
      </c>
      <c r="B304" s="34" t="s">
        <v>15</v>
      </c>
      <c r="C304" s="34">
        <v>8</v>
      </c>
      <c r="D304" s="34">
        <v>1</v>
      </c>
      <c r="E304" s="6" t="s">
        <v>360</v>
      </c>
      <c r="F304" s="31">
        <f>SUM(G304:H304)</f>
        <v>0</v>
      </c>
      <c r="G304" s="31"/>
      <c r="H304" s="31"/>
      <c r="I304" s="31">
        <v>0</v>
      </c>
      <c r="J304" s="31">
        <v>0</v>
      </c>
      <c r="K304" s="31">
        <v>0</v>
      </c>
      <c r="L304" s="31">
        <v>0</v>
      </c>
    </row>
    <row r="305" spans="1:12" s="39" customFormat="1">
      <c r="A305" s="40"/>
      <c r="B305" s="34"/>
      <c r="C305" s="34"/>
      <c r="D305" s="34"/>
      <c r="E305" s="6" t="s">
        <v>156</v>
      </c>
      <c r="F305" s="31"/>
      <c r="G305" s="31"/>
      <c r="H305" s="31"/>
      <c r="I305" s="31"/>
      <c r="J305" s="31"/>
      <c r="K305" s="31"/>
      <c r="L305" s="31"/>
    </row>
    <row r="306" spans="1:12" ht="27">
      <c r="A306" s="40">
        <v>3090</v>
      </c>
      <c r="B306" s="34" t="s">
        <v>15</v>
      </c>
      <c r="C306" s="34">
        <v>9</v>
      </c>
      <c r="D306" s="34">
        <v>0</v>
      </c>
      <c r="E306" s="6" t="s">
        <v>361</v>
      </c>
      <c r="F306" s="31">
        <f>+F308</f>
        <v>0</v>
      </c>
      <c r="G306" s="31">
        <f t="shared" ref="G306:L306" si="22">+G308</f>
        <v>0</v>
      </c>
      <c r="H306" s="31"/>
      <c r="I306" s="31">
        <f t="shared" si="22"/>
        <v>0</v>
      </c>
      <c r="J306" s="31">
        <f t="shared" si="22"/>
        <v>0</v>
      </c>
      <c r="K306" s="31">
        <f t="shared" si="22"/>
        <v>0</v>
      </c>
      <c r="L306" s="31">
        <f t="shared" si="22"/>
        <v>0</v>
      </c>
    </row>
    <row r="307" spans="1:12" s="39" customFormat="1">
      <c r="A307" s="40"/>
      <c r="B307" s="34"/>
      <c r="C307" s="34"/>
      <c r="D307" s="34"/>
      <c r="E307" s="6" t="s">
        <v>156</v>
      </c>
      <c r="F307" s="31"/>
      <c r="G307" s="31"/>
      <c r="H307" s="31"/>
      <c r="I307" s="31"/>
      <c r="J307" s="31"/>
      <c r="K307" s="31"/>
      <c r="L307" s="31"/>
    </row>
    <row r="308" spans="1:12" ht="27">
      <c r="A308" s="40">
        <v>3091</v>
      </c>
      <c r="B308" s="34" t="s">
        <v>15</v>
      </c>
      <c r="C308" s="34">
        <v>9</v>
      </c>
      <c r="D308" s="34">
        <v>1</v>
      </c>
      <c r="E308" s="6" t="s">
        <v>361</v>
      </c>
      <c r="F308" s="31">
        <f>+'4.Gorcarakan ev tntesagitakan'!H761</f>
        <v>0</v>
      </c>
      <c r="G308" s="31">
        <f>+'4.Gorcarakan ev tntesagitakan'!I761</f>
        <v>0</v>
      </c>
      <c r="H308" s="31"/>
      <c r="I308" s="31">
        <f>+'4.Gorcarakan ev tntesagitakan'!K761</f>
        <v>0</v>
      </c>
      <c r="J308" s="31">
        <f>+'4.Gorcarakan ev tntesagitakan'!L761</f>
        <v>0</v>
      </c>
      <c r="K308" s="31">
        <f>+'4.Gorcarakan ev tntesagitakan'!M761</f>
        <v>0</v>
      </c>
      <c r="L308" s="31">
        <f>+'4.Gorcarakan ev tntesagitakan'!N761</f>
        <v>0</v>
      </c>
    </row>
    <row r="309" spans="1:12" ht="40.5">
      <c r="A309" s="40">
        <v>3092</v>
      </c>
      <c r="B309" s="34" t="s">
        <v>15</v>
      </c>
      <c r="C309" s="34">
        <v>9</v>
      </c>
      <c r="D309" s="34">
        <v>2</v>
      </c>
      <c r="E309" s="6" t="s">
        <v>362</v>
      </c>
      <c r="F309" s="31"/>
      <c r="G309" s="31"/>
      <c r="H309" s="31"/>
      <c r="I309" s="31">
        <v>0</v>
      </c>
      <c r="J309" s="31">
        <v>0</v>
      </c>
      <c r="K309" s="31">
        <v>0</v>
      </c>
      <c r="L309" s="31">
        <v>0</v>
      </c>
    </row>
    <row r="310" spans="1:12" s="36" customFormat="1" ht="27">
      <c r="A310" s="41">
        <v>3100</v>
      </c>
      <c r="B310" s="34" t="s">
        <v>16</v>
      </c>
      <c r="C310" s="34">
        <v>0</v>
      </c>
      <c r="D310" s="34">
        <v>0</v>
      </c>
      <c r="E310" s="7" t="s">
        <v>363</v>
      </c>
      <c r="F310" s="31"/>
      <c r="G310" s="31">
        <f t="shared" ref="G310:L310" si="23">+G312</f>
        <v>925983</v>
      </c>
      <c r="H310" s="31">
        <f t="shared" si="23"/>
        <v>925983</v>
      </c>
      <c r="I310" s="31">
        <f t="shared" si="23"/>
        <v>345364</v>
      </c>
      <c r="J310" s="31">
        <f t="shared" si="23"/>
        <v>532603</v>
      </c>
      <c r="K310" s="31">
        <f t="shared" si="23"/>
        <v>726707</v>
      </c>
      <c r="L310" s="31">
        <f t="shared" si="23"/>
        <v>925983</v>
      </c>
    </row>
    <row r="311" spans="1:12">
      <c r="A311" s="41"/>
      <c r="B311" s="34"/>
      <c r="C311" s="34"/>
      <c r="D311" s="34"/>
      <c r="E311" s="6" t="s">
        <v>154</v>
      </c>
      <c r="F311" s="31"/>
      <c r="G311" s="31"/>
      <c r="H311" s="31"/>
      <c r="I311" s="31"/>
      <c r="J311" s="31"/>
      <c r="K311" s="31"/>
      <c r="L311" s="31"/>
    </row>
    <row r="312" spans="1:12" ht="27">
      <c r="A312" s="41">
        <v>3110</v>
      </c>
      <c r="B312" s="34" t="s">
        <v>16</v>
      </c>
      <c r="C312" s="34">
        <v>1</v>
      </c>
      <c r="D312" s="34">
        <v>0</v>
      </c>
      <c r="E312" s="7" t="s">
        <v>364</v>
      </c>
      <c r="F312" s="31"/>
      <c r="G312" s="31">
        <f t="shared" ref="G312:L312" si="24">+G314</f>
        <v>925983</v>
      </c>
      <c r="H312" s="31">
        <f t="shared" si="24"/>
        <v>925983</v>
      </c>
      <c r="I312" s="31">
        <f t="shared" si="24"/>
        <v>345364</v>
      </c>
      <c r="J312" s="31">
        <f t="shared" si="24"/>
        <v>532603</v>
      </c>
      <c r="K312" s="31">
        <f t="shared" si="24"/>
        <v>726707</v>
      </c>
      <c r="L312" s="31">
        <f t="shared" si="24"/>
        <v>925983</v>
      </c>
    </row>
    <row r="313" spans="1:12" s="39" customFormat="1">
      <c r="A313" s="41"/>
      <c r="B313" s="34"/>
      <c r="C313" s="34"/>
      <c r="D313" s="34"/>
      <c r="E313" s="6" t="s">
        <v>156</v>
      </c>
      <c r="F313" s="31"/>
      <c r="G313" s="31"/>
      <c r="H313" s="31"/>
      <c r="I313" s="31"/>
      <c r="J313" s="31"/>
      <c r="K313" s="31"/>
      <c r="L313" s="31"/>
    </row>
    <row r="314" spans="1:12" ht="18" thickBot="1">
      <c r="A314" s="42">
        <v>3112</v>
      </c>
      <c r="B314" s="34" t="s">
        <v>16</v>
      </c>
      <c r="C314" s="34">
        <v>1</v>
      </c>
      <c r="D314" s="34">
        <v>2</v>
      </c>
      <c r="E314" s="7" t="s">
        <v>365</v>
      </c>
      <c r="F314" s="31"/>
      <c r="G314" s="31">
        <f>+'4.Gorcarakan ev tntesagitakan'!I781</f>
        <v>925983</v>
      </c>
      <c r="H314" s="31">
        <f>+'4.Gorcarakan ev tntesagitakan'!J781</f>
        <v>925983</v>
      </c>
      <c r="I314" s="31">
        <f>+'4.Gorcarakan ev tntesagitakan'!K781</f>
        <v>345364</v>
      </c>
      <c r="J314" s="31">
        <f>+'4.Gorcarakan ev tntesagitakan'!L781</f>
        <v>532603</v>
      </c>
      <c r="K314" s="31">
        <f>+'4.Gorcarakan ev tntesagitakan'!M781</f>
        <v>726707</v>
      </c>
      <c r="L314" s="31">
        <f>+'4.Gorcarakan ev tntesagitakan'!N781</f>
        <v>925983</v>
      </c>
    </row>
    <row r="315" spans="1:12">
      <c r="B315" s="44"/>
      <c r="C315" s="45"/>
      <c r="D315" s="46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6">
    <mergeCell ref="I8:L8"/>
    <mergeCell ref="I2:L2"/>
    <mergeCell ref="I3:L3"/>
    <mergeCell ref="I4:L4"/>
    <mergeCell ref="I6:L6"/>
    <mergeCell ref="I7:L7"/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</mergeCells>
  <pageMargins left="0.2" right="0.2" top="0.25" bottom="0.25" header="0" footer="0"/>
  <pageSetup paperSize="9" scale="85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Q236"/>
  <sheetViews>
    <sheetView workbookViewId="0">
      <selection activeCell="G3" sqref="G3:J3"/>
    </sheetView>
  </sheetViews>
  <sheetFormatPr defaultRowHeight="13.5"/>
  <cols>
    <col min="1" max="1" width="10.28515625" style="2" customWidth="1"/>
    <col min="2" max="2" width="50.42578125" style="20" bestFit="1" customWidth="1"/>
    <col min="3" max="3" width="5.28515625" style="64" bestFit="1" customWidth="1"/>
    <col min="4" max="4" width="16.140625" style="2" customWidth="1"/>
    <col min="5" max="10" width="13.42578125" style="2" customWidth="1"/>
    <col min="11" max="11" width="12.85546875" style="2" customWidth="1"/>
    <col min="12" max="12" width="11" style="2" customWidth="1"/>
    <col min="13" max="13" width="9.7109375" style="2" customWidth="1"/>
    <col min="14" max="14" width="8.7109375" style="2" customWidth="1"/>
    <col min="15" max="15" width="9" style="2" customWidth="1"/>
    <col min="16" max="17" width="9.7109375" style="2" customWidth="1"/>
    <col min="18" max="16384" width="9.140625" style="2"/>
  </cols>
  <sheetData>
    <row r="1" spans="1:16">
      <c r="G1" s="94"/>
      <c r="H1" s="147"/>
      <c r="I1" s="147"/>
      <c r="J1" s="147" t="s">
        <v>870</v>
      </c>
      <c r="K1" s="214"/>
    </row>
    <row r="2" spans="1:16" s="94" customFormat="1" ht="13.5" customHeight="1">
      <c r="A2" s="147"/>
      <c r="C2" s="147"/>
      <c r="E2" s="147"/>
      <c r="F2" s="147"/>
      <c r="G2" s="260" t="s">
        <v>601</v>
      </c>
      <c r="H2" s="260"/>
      <c r="I2" s="260"/>
      <c r="J2" s="260"/>
    </row>
    <row r="3" spans="1:16" s="94" customFormat="1" ht="13.5" customHeight="1">
      <c r="A3" s="147"/>
      <c r="C3" s="147"/>
      <c r="E3" s="147"/>
      <c r="F3" s="147"/>
      <c r="G3" s="260" t="s">
        <v>875</v>
      </c>
      <c r="H3" s="260"/>
      <c r="I3" s="260"/>
      <c r="J3" s="260"/>
    </row>
    <row r="4" spans="1:16" s="94" customFormat="1" ht="13.5" customHeight="1">
      <c r="A4" s="147"/>
      <c r="C4" s="147"/>
      <c r="E4" s="147"/>
      <c r="F4" s="147"/>
      <c r="G4" s="261" t="s">
        <v>868</v>
      </c>
      <c r="H4" s="261"/>
      <c r="I4" s="261"/>
      <c r="J4" s="261"/>
    </row>
    <row r="5" spans="1:16" s="94" customFormat="1" ht="27" customHeight="1">
      <c r="A5" s="147"/>
      <c r="C5" s="147"/>
      <c r="E5" s="147"/>
      <c r="F5" s="147"/>
      <c r="H5" s="147"/>
      <c r="I5" s="147"/>
      <c r="J5" s="147" t="s">
        <v>865</v>
      </c>
    </row>
    <row r="6" spans="1:16" s="94" customFormat="1">
      <c r="A6" s="147"/>
      <c r="C6" s="147"/>
      <c r="E6" s="147"/>
      <c r="F6" s="147"/>
      <c r="G6" s="260" t="s">
        <v>601</v>
      </c>
      <c r="H6" s="260"/>
      <c r="I6" s="260"/>
      <c r="J6" s="260"/>
    </row>
    <row r="7" spans="1:16" s="94" customFormat="1">
      <c r="A7" s="147"/>
      <c r="C7" s="147"/>
      <c r="E7" s="147"/>
      <c r="F7" s="147"/>
      <c r="G7" s="260" t="s">
        <v>864</v>
      </c>
      <c r="H7" s="260"/>
      <c r="I7" s="260"/>
      <c r="J7" s="260"/>
    </row>
    <row r="8" spans="1:16" s="94" customFormat="1">
      <c r="A8" s="147"/>
      <c r="C8" s="147"/>
      <c r="E8" s="147"/>
      <c r="F8" s="147"/>
      <c r="G8" s="260" t="s">
        <v>863</v>
      </c>
      <c r="H8" s="260"/>
      <c r="I8" s="260"/>
      <c r="J8" s="260"/>
    </row>
    <row r="9" spans="1:16" s="20" customFormat="1" ht="12.75" customHeight="1">
      <c r="A9" s="18"/>
      <c r="B9" s="19"/>
      <c r="C9" s="18"/>
      <c r="E9" s="18"/>
      <c r="F9" s="18"/>
      <c r="L9" s="215"/>
    </row>
    <row r="10" spans="1:16" ht="17.25">
      <c r="A10" s="274" t="s">
        <v>604</v>
      </c>
      <c r="B10" s="274"/>
      <c r="C10" s="274"/>
      <c r="D10" s="274"/>
      <c r="E10" s="274"/>
      <c r="F10" s="274"/>
      <c r="G10" s="274"/>
      <c r="H10" s="20"/>
      <c r="I10" s="20"/>
      <c r="J10" s="20"/>
      <c r="K10" s="20"/>
      <c r="L10" s="215"/>
    </row>
    <row r="11" spans="1:16" ht="32.25" customHeight="1">
      <c r="A11" s="273" t="s">
        <v>140</v>
      </c>
      <c r="B11" s="273"/>
      <c r="C11" s="273"/>
      <c r="D11" s="273"/>
      <c r="E11" s="273"/>
      <c r="F11" s="273"/>
      <c r="G11" s="273"/>
      <c r="H11" s="273"/>
      <c r="I11" s="273"/>
      <c r="J11" s="273"/>
      <c r="K11" s="216"/>
      <c r="L11" s="20"/>
    </row>
    <row r="12" spans="1:16" ht="17.25">
      <c r="A12" s="216"/>
      <c r="B12" s="216"/>
      <c r="C12" s="216"/>
      <c r="D12" s="217"/>
      <c r="E12" s="217"/>
      <c r="F12" s="217"/>
      <c r="G12" s="217"/>
      <c r="H12" s="217"/>
      <c r="I12" s="217"/>
      <c r="J12" s="217"/>
      <c r="K12" s="217"/>
      <c r="L12" s="20"/>
      <c r="O12" s="165"/>
    </row>
    <row r="13" spans="1:16" ht="16.5" customHeight="1">
      <c r="A13" s="218"/>
      <c r="B13" s="51"/>
      <c r="C13" s="51"/>
      <c r="D13" s="218"/>
      <c r="E13" s="275" t="s">
        <v>18</v>
      </c>
      <c r="F13" s="275"/>
      <c r="L13" s="20"/>
      <c r="M13" s="165"/>
      <c r="N13" s="165"/>
      <c r="O13" s="165"/>
      <c r="P13" s="165"/>
    </row>
    <row r="14" spans="1:16" ht="17.25" customHeight="1">
      <c r="A14" s="276" t="s">
        <v>372</v>
      </c>
      <c r="B14" s="270" t="s">
        <v>373</v>
      </c>
      <c r="C14" s="270"/>
      <c r="D14" s="270" t="s">
        <v>369</v>
      </c>
      <c r="E14" s="270" t="s">
        <v>154</v>
      </c>
      <c r="F14" s="270"/>
      <c r="G14" s="265" t="s">
        <v>368</v>
      </c>
      <c r="H14" s="266"/>
      <c r="I14" s="266"/>
      <c r="J14" s="267"/>
      <c r="K14" s="144"/>
      <c r="L14" s="20"/>
    </row>
    <row r="15" spans="1:16" ht="27">
      <c r="A15" s="276"/>
      <c r="B15" s="270"/>
      <c r="C15" s="270"/>
      <c r="D15" s="270"/>
      <c r="E15" s="212" t="s">
        <v>370</v>
      </c>
      <c r="F15" s="212" t="s">
        <v>371</v>
      </c>
      <c r="G15" s="213" t="s">
        <v>187</v>
      </c>
      <c r="H15" s="213" t="s">
        <v>188</v>
      </c>
      <c r="I15" s="213" t="s">
        <v>189</v>
      </c>
      <c r="J15" s="213" t="s">
        <v>190</v>
      </c>
      <c r="K15" s="219"/>
      <c r="L15" s="20"/>
    </row>
    <row r="16" spans="1:16">
      <c r="A16" s="52">
        <v>1</v>
      </c>
      <c r="B16" s="53">
        <v>2</v>
      </c>
      <c r="C16" s="52" t="s">
        <v>6</v>
      </c>
      <c r="D16" s="213">
        <v>4</v>
      </c>
      <c r="E16" s="213">
        <v>5</v>
      </c>
      <c r="F16" s="212">
        <v>6</v>
      </c>
      <c r="G16" s="211">
        <v>7</v>
      </c>
      <c r="H16" s="212">
        <v>8</v>
      </c>
      <c r="I16" s="212">
        <v>9</v>
      </c>
      <c r="J16" s="212">
        <v>10</v>
      </c>
      <c r="K16" s="144"/>
      <c r="L16" s="20"/>
    </row>
    <row r="17" spans="1:17" ht="33">
      <c r="A17" s="53">
        <v>4000</v>
      </c>
      <c r="B17" s="71" t="s">
        <v>374</v>
      </c>
      <c r="C17" s="54"/>
      <c r="D17" s="22">
        <f>SUM(D19,D178,D213)</f>
        <v>9193112.1372999977</v>
      </c>
      <c r="E17" s="22">
        <f t="shared" ref="E17" si="0">SUM(E19,E178,E213)</f>
        <v>6767596.0294999992</v>
      </c>
      <c r="F17" s="22">
        <f>SUM(F178,F213)</f>
        <v>3351499.1077999985</v>
      </c>
      <c r="G17" s="22">
        <f t="shared" ref="G17:J17" si="1">SUM(G19,G178,G213)</f>
        <v>4280618.3073637132</v>
      </c>
      <c r="H17" s="22">
        <f t="shared" si="1"/>
        <v>5968284.8972434709</v>
      </c>
      <c r="I17" s="22">
        <f t="shared" si="1"/>
        <v>7657317.9902754053</v>
      </c>
      <c r="J17" s="22">
        <f t="shared" si="1"/>
        <v>9193112.1372999977</v>
      </c>
      <c r="K17" s="35"/>
      <c r="L17" s="35"/>
      <c r="M17" s="35"/>
      <c r="N17" s="35"/>
      <c r="O17" s="35"/>
      <c r="P17" s="35"/>
      <c r="Q17" s="35"/>
    </row>
    <row r="18" spans="1:17">
      <c r="A18" s="53"/>
      <c r="B18" s="12" t="s">
        <v>375</v>
      </c>
      <c r="C18" s="54"/>
      <c r="D18" s="22"/>
      <c r="E18" s="22"/>
      <c r="F18" s="22"/>
      <c r="G18" s="22"/>
      <c r="H18" s="22"/>
      <c r="I18" s="22"/>
      <c r="J18" s="22"/>
      <c r="K18" s="35"/>
      <c r="L18" s="20"/>
      <c r="M18" s="165"/>
    </row>
    <row r="19" spans="1:17" ht="63.75" customHeight="1">
      <c r="A19" s="53">
        <v>4050</v>
      </c>
      <c r="B19" s="9" t="s">
        <v>537</v>
      </c>
      <c r="C19" s="55" t="s">
        <v>19</v>
      </c>
      <c r="D19" s="22">
        <f>+D21+D34+D77+D92+D102+D134+D149</f>
        <v>5841613.0294999992</v>
      </c>
      <c r="E19" s="22">
        <f t="shared" ref="E19" si="2">+E21+E34+E77+E92+E102+E134+E149</f>
        <v>6767596.0294999992</v>
      </c>
      <c r="F19" s="22">
        <f>SUM(F21,F34,F77,F92,F102,F134,F149,)</f>
        <v>925983</v>
      </c>
      <c r="G19" s="22">
        <f t="shared" ref="G19:J19" si="3">+G21+G34+G77+G92+G102+G134+G149</f>
        <v>1509738.1995637135</v>
      </c>
      <c r="H19" s="22">
        <f t="shared" si="3"/>
        <v>3010165.7894434705</v>
      </c>
      <c r="I19" s="22">
        <f t="shared" si="3"/>
        <v>4505094.882475405</v>
      </c>
      <c r="J19" s="22">
        <f t="shared" si="3"/>
        <v>5841613.0294999992</v>
      </c>
      <c r="K19" s="35"/>
      <c r="L19" s="20"/>
      <c r="M19" s="165"/>
      <c r="O19" s="165"/>
    </row>
    <row r="20" spans="1:17">
      <c r="A20" s="53"/>
      <c r="B20" s="12" t="s">
        <v>375</v>
      </c>
      <c r="C20" s="54"/>
      <c r="D20" s="22"/>
      <c r="E20" s="22"/>
      <c r="F20" s="22"/>
      <c r="G20" s="22"/>
      <c r="H20" s="22"/>
      <c r="I20" s="22"/>
      <c r="J20" s="22"/>
      <c r="K20" s="35"/>
      <c r="L20" s="20"/>
      <c r="M20" s="165"/>
    </row>
    <row r="21" spans="1:17" ht="37.5" customHeight="1">
      <c r="A21" s="53">
        <v>4100</v>
      </c>
      <c r="B21" s="8" t="s">
        <v>376</v>
      </c>
      <c r="C21" s="56" t="s">
        <v>19</v>
      </c>
      <c r="D21" s="22">
        <f>SUM(D23,D28,D31)</f>
        <v>1678404.1295</v>
      </c>
      <c r="E21" s="22">
        <f>SUM(E23,E28,E31)</f>
        <v>1678404.1295</v>
      </c>
      <c r="F21" s="22" t="s">
        <v>0</v>
      </c>
      <c r="G21" s="22">
        <f t="shared" ref="G21:J21" si="4">SUM(G23,G28,G31)</f>
        <v>477481.33918878448</v>
      </c>
      <c r="H21" s="22">
        <f t="shared" si="4"/>
        <v>982124.93783176527</v>
      </c>
      <c r="I21" s="22">
        <f t="shared" si="4"/>
        <v>1271581.2667412804</v>
      </c>
      <c r="J21" s="22">
        <f t="shared" si="4"/>
        <v>1678404.1295</v>
      </c>
      <c r="K21" s="35"/>
      <c r="L21" s="20"/>
      <c r="M21" s="165"/>
    </row>
    <row r="22" spans="1:17">
      <c r="A22" s="53"/>
      <c r="B22" s="12" t="s">
        <v>375</v>
      </c>
      <c r="C22" s="54"/>
      <c r="D22" s="22"/>
      <c r="E22" s="22"/>
      <c r="F22" s="22"/>
      <c r="G22" s="22"/>
      <c r="H22" s="22"/>
      <c r="I22" s="22"/>
      <c r="J22" s="22"/>
      <c r="K22" s="35"/>
      <c r="L22" s="20"/>
      <c r="M22" s="165"/>
    </row>
    <row r="23" spans="1:17" ht="27">
      <c r="A23" s="53">
        <v>4110</v>
      </c>
      <c r="B23" s="12" t="s">
        <v>377</v>
      </c>
      <c r="C23" s="56" t="s">
        <v>19</v>
      </c>
      <c r="D23" s="22">
        <f>SUM(D25:D27)</f>
        <v>1678404.1295</v>
      </c>
      <c r="E23" s="22">
        <f>SUM(E25:E27)</f>
        <v>1678404.1295</v>
      </c>
      <c r="F23" s="22" t="s">
        <v>1</v>
      </c>
      <c r="G23" s="22">
        <f t="shared" ref="G23:J23" si="5">SUM(G25:G27)</f>
        <v>477481.33918878448</v>
      </c>
      <c r="H23" s="22">
        <f t="shared" si="5"/>
        <v>982124.93783176527</v>
      </c>
      <c r="I23" s="22">
        <f t="shared" si="5"/>
        <v>1271581.2667412804</v>
      </c>
      <c r="J23" s="22">
        <f t="shared" si="5"/>
        <v>1678404.1295</v>
      </c>
      <c r="K23" s="35"/>
      <c r="L23" s="20"/>
      <c r="M23" s="165"/>
    </row>
    <row r="24" spans="1:17">
      <c r="A24" s="53"/>
      <c r="B24" s="12" t="s">
        <v>156</v>
      </c>
      <c r="C24" s="56"/>
      <c r="D24" s="22"/>
      <c r="E24" s="22"/>
      <c r="F24" s="22"/>
      <c r="G24" s="22"/>
      <c r="H24" s="22"/>
      <c r="I24" s="22"/>
      <c r="J24" s="22"/>
      <c r="K24" s="35"/>
      <c r="L24" s="20"/>
      <c r="M24" s="165"/>
    </row>
    <row r="25" spans="1:17">
      <c r="A25" s="53">
        <v>4111</v>
      </c>
      <c r="B25" s="10" t="s">
        <v>378</v>
      </c>
      <c r="C25" s="56" t="s">
        <v>20</v>
      </c>
      <c r="D25" s="22">
        <f>+'4.Gorcarakan ev tntesagitakan'!H21+'4.Gorcarakan ev tntesagitakan'!H80+'4.Gorcarakan ev tntesagitakan'!H360+'4.Gorcarakan ev tntesagitakan'!H400+'4.Gorcarakan ev tntesagitakan'!H451+'4.Gorcarakan ev tntesagitakan'!H763</f>
        <v>1633404.1295</v>
      </c>
      <c r="E25" s="22">
        <f>+'4.Gorcarakan ev tntesagitakan'!I21+'4.Gorcarakan ev tntesagitakan'!I80+'4.Gorcarakan ev tntesagitakan'!I360+'4.Gorcarakan ev tntesagitakan'!I400+'4.Gorcarakan ev tntesagitakan'!I451+'4.Gorcarakan ev tntesagitakan'!I763</f>
        <v>1633404.1295</v>
      </c>
      <c r="F25" s="22" t="s">
        <v>1</v>
      </c>
      <c r="G25" s="22">
        <f>+'4.Gorcarakan ev tntesagitakan'!K21+'4.Gorcarakan ev tntesagitakan'!K80+'4.Gorcarakan ev tntesagitakan'!K360+'4.Gorcarakan ev tntesagitakan'!K400+'4.Gorcarakan ev tntesagitakan'!K451+'4.Gorcarakan ev tntesagitakan'!K763</f>
        <v>466767.05347449874</v>
      </c>
      <c r="H25" s="22">
        <f>+'4.Gorcarakan ev tntesagitakan'!L21+'4.Gorcarakan ev tntesagitakan'!L80+'4.Gorcarakan ev tntesagitakan'!L360+'4.Gorcarakan ev tntesagitakan'!L400+'4.Gorcarakan ev tntesagitakan'!L451+'4.Gorcarakan ev tntesagitakan'!L763</f>
        <v>960517.79497462243</v>
      </c>
      <c r="I25" s="22">
        <f>+'4.Gorcarakan ev tntesagitakan'!M21+'4.Gorcarakan ev tntesagitakan'!M80+'4.Gorcarakan ev tntesagitakan'!M360+'4.Gorcarakan ev tntesagitakan'!M400+'4.Gorcarakan ev tntesagitakan'!M451+'4.Gorcarakan ev tntesagitakan'!M763</f>
        <v>1238188.4095984234</v>
      </c>
      <c r="J25" s="22">
        <f>+'4.Gorcarakan ev tntesagitakan'!N21+'4.Gorcarakan ev tntesagitakan'!N80+'4.Gorcarakan ev tntesagitakan'!N360+'4.Gorcarakan ev tntesagitakan'!N400+'4.Gorcarakan ev tntesagitakan'!N451+'4.Gorcarakan ev tntesagitakan'!N763</f>
        <v>1633404.1295</v>
      </c>
      <c r="K25" s="35"/>
      <c r="L25" s="20"/>
      <c r="M25" s="165"/>
    </row>
    <row r="26" spans="1:17" ht="27">
      <c r="A26" s="53">
        <v>4112</v>
      </c>
      <c r="B26" s="10" t="s">
        <v>379</v>
      </c>
      <c r="C26" s="56" t="s">
        <v>21</v>
      </c>
      <c r="D26" s="22">
        <f>+'4.Gorcarakan ev tntesagitakan'!H22</f>
        <v>45000</v>
      </c>
      <c r="E26" s="22">
        <f>+'4.Gorcarakan ev tntesagitakan'!I22</f>
        <v>45000</v>
      </c>
      <c r="F26" s="22" t="s">
        <v>1</v>
      </c>
      <c r="G26" s="22">
        <f>+'4.Gorcarakan ev tntesagitakan'!K22</f>
        <v>10714.285714285716</v>
      </c>
      <c r="H26" s="22">
        <f>+'4.Gorcarakan ev tntesagitakan'!L22</f>
        <v>21607.142857142859</v>
      </c>
      <c r="I26" s="22">
        <f>+'4.Gorcarakan ev tntesagitakan'!M22</f>
        <v>33392.857142857145</v>
      </c>
      <c r="J26" s="22">
        <f>+'4.Gorcarakan ev tntesagitakan'!N22</f>
        <v>45000</v>
      </c>
      <c r="K26" s="35"/>
      <c r="L26" s="20"/>
      <c r="M26" s="165"/>
    </row>
    <row r="27" spans="1:17">
      <c r="A27" s="53">
        <v>4114</v>
      </c>
      <c r="B27" s="10" t="s">
        <v>380</v>
      </c>
      <c r="C27" s="56" t="s">
        <v>22</v>
      </c>
      <c r="D27" s="22"/>
      <c r="E27" s="22"/>
      <c r="F27" s="22" t="s">
        <v>1</v>
      </c>
      <c r="G27" s="22"/>
      <c r="H27" s="22"/>
      <c r="I27" s="22"/>
      <c r="J27" s="22"/>
      <c r="K27" s="35"/>
      <c r="L27" s="20"/>
      <c r="M27" s="165"/>
    </row>
    <row r="28" spans="1:17" ht="27">
      <c r="A28" s="53">
        <v>4120</v>
      </c>
      <c r="B28" s="10" t="s">
        <v>381</v>
      </c>
      <c r="C28" s="56" t="s">
        <v>19</v>
      </c>
      <c r="D28" s="22">
        <f>SUM(D30)</f>
        <v>0</v>
      </c>
      <c r="E28" s="22">
        <f>SUM(E30)</f>
        <v>0</v>
      </c>
      <c r="F28" s="22" t="s">
        <v>1</v>
      </c>
      <c r="G28" s="22">
        <f>SUM(G30)</f>
        <v>0</v>
      </c>
      <c r="H28" s="22">
        <f>SUM(H30)</f>
        <v>0</v>
      </c>
      <c r="I28" s="22">
        <f>SUM(I30)</f>
        <v>0</v>
      </c>
      <c r="J28" s="22">
        <f>SUM(J30)</f>
        <v>0</v>
      </c>
      <c r="K28" s="35"/>
      <c r="L28" s="20"/>
      <c r="M28" s="165"/>
    </row>
    <row r="29" spans="1:17">
      <c r="A29" s="53"/>
      <c r="B29" s="12" t="s">
        <v>156</v>
      </c>
      <c r="C29" s="56"/>
      <c r="D29" s="22"/>
      <c r="E29" s="22"/>
      <c r="F29" s="22"/>
      <c r="G29" s="22"/>
      <c r="H29" s="22"/>
      <c r="I29" s="22"/>
      <c r="J29" s="22"/>
      <c r="K29" s="35"/>
      <c r="L29" s="20"/>
      <c r="M29" s="165"/>
    </row>
    <row r="30" spans="1:17">
      <c r="A30" s="53">
        <v>4121</v>
      </c>
      <c r="B30" s="10" t="s">
        <v>382</v>
      </c>
      <c r="C30" s="56" t="s">
        <v>23</v>
      </c>
      <c r="D30" s="22">
        <f>SUM(E30:F30)</f>
        <v>0</v>
      </c>
      <c r="E30" s="22"/>
      <c r="F30" s="22" t="s">
        <v>1</v>
      </c>
      <c r="G30" s="22">
        <f>SUM(H30:I30)</f>
        <v>0</v>
      </c>
      <c r="H30" s="22">
        <f>SUM(I30:J30)</f>
        <v>0</v>
      </c>
      <c r="I30" s="22">
        <f>SUM(J30:L30)</f>
        <v>0</v>
      </c>
      <c r="J30" s="22">
        <f>SUM(L30:L30)</f>
        <v>0</v>
      </c>
      <c r="K30" s="35"/>
      <c r="L30" s="20"/>
      <c r="M30" s="165"/>
    </row>
    <row r="31" spans="1:17" ht="27">
      <c r="A31" s="53">
        <v>4130</v>
      </c>
      <c r="B31" s="10" t="s">
        <v>383</v>
      </c>
      <c r="C31" s="56" t="s">
        <v>19</v>
      </c>
      <c r="D31" s="22">
        <f>SUM(D33)</f>
        <v>0</v>
      </c>
      <c r="E31" s="22">
        <f>SUM(E33)</f>
        <v>0</v>
      </c>
      <c r="F31" s="22" t="s">
        <v>0</v>
      </c>
      <c r="G31" s="22">
        <f>SUM(G33)</f>
        <v>0</v>
      </c>
      <c r="H31" s="22">
        <f>SUM(H33)</f>
        <v>0</v>
      </c>
      <c r="I31" s="22">
        <f>SUM(I33)</f>
        <v>0</v>
      </c>
      <c r="J31" s="22">
        <f>SUM(J33)</f>
        <v>0</v>
      </c>
      <c r="K31" s="35"/>
      <c r="L31" s="20"/>
      <c r="M31" s="165"/>
    </row>
    <row r="32" spans="1:17">
      <c r="A32" s="53"/>
      <c r="B32" s="12" t="s">
        <v>156</v>
      </c>
      <c r="C32" s="56"/>
      <c r="D32" s="22"/>
      <c r="E32" s="22"/>
      <c r="F32" s="22"/>
      <c r="G32" s="22"/>
      <c r="H32" s="22"/>
      <c r="I32" s="22"/>
      <c r="J32" s="22"/>
      <c r="K32" s="35"/>
      <c r="L32" s="20"/>
      <c r="M32" s="165"/>
    </row>
    <row r="33" spans="1:13">
      <c r="A33" s="53">
        <v>4131</v>
      </c>
      <c r="B33" s="10" t="s">
        <v>384</v>
      </c>
      <c r="C33" s="56" t="s">
        <v>24</v>
      </c>
      <c r="D33" s="22">
        <f>SUM(E33:F33)</f>
        <v>0</v>
      </c>
      <c r="E33" s="22"/>
      <c r="F33" s="22" t="s">
        <v>0</v>
      </c>
      <c r="G33" s="22">
        <f>SUM(H33:I33)</f>
        <v>0</v>
      </c>
      <c r="H33" s="22">
        <f>SUM(I33:J33)</f>
        <v>0</v>
      </c>
      <c r="I33" s="22">
        <f>SUM(J33:L33)</f>
        <v>0</v>
      </c>
      <c r="J33" s="22">
        <f>SUM(L33:L33)</f>
        <v>0</v>
      </c>
      <c r="K33" s="35"/>
      <c r="L33" s="20"/>
      <c r="M33" s="165"/>
    </row>
    <row r="34" spans="1:13" ht="54">
      <c r="A34" s="53">
        <v>4200</v>
      </c>
      <c r="B34" s="10" t="s">
        <v>385</v>
      </c>
      <c r="C34" s="56" t="s">
        <v>19</v>
      </c>
      <c r="D34" s="22">
        <f>SUM(D36,D45,D50,D60,D63,D67)</f>
        <v>1224961.9810000001</v>
      </c>
      <c r="E34" s="22">
        <f>SUM(E36,E45,E50,E60,E63,E67)</f>
        <v>1224961.9810000001</v>
      </c>
      <c r="F34" s="22" t="s">
        <v>0</v>
      </c>
      <c r="G34" s="22">
        <f>SUM(G36,G45,G50,G60,G63,G67)</f>
        <v>338119.4244225485</v>
      </c>
      <c r="H34" s="22">
        <f>SUM(H36,H45,H50,H60,H63,H67)</f>
        <v>633678.18977440568</v>
      </c>
      <c r="I34" s="22">
        <f>SUM(I36,I45,I50,I60,I63,I67)</f>
        <v>1007446.6310809527</v>
      </c>
      <c r="J34" s="22">
        <f>SUM(J36,J45,J50,J60,J63,J67)</f>
        <v>1224961.9810000001</v>
      </c>
      <c r="K34" s="35"/>
      <c r="L34" s="20"/>
      <c r="M34" s="165"/>
    </row>
    <row r="35" spans="1:13">
      <c r="A35" s="53"/>
      <c r="B35" s="12" t="s">
        <v>375</v>
      </c>
      <c r="C35" s="54"/>
      <c r="D35" s="22"/>
      <c r="E35" s="22"/>
      <c r="F35" s="22"/>
      <c r="G35" s="22"/>
      <c r="H35" s="22"/>
      <c r="I35" s="22"/>
      <c r="J35" s="22"/>
      <c r="K35" s="35"/>
      <c r="L35" s="20"/>
      <c r="M35" s="165"/>
    </row>
    <row r="36" spans="1:13" ht="40.5">
      <c r="A36" s="53">
        <v>4210</v>
      </c>
      <c r="B36" s="10" t="s">
        <v>386</v>
      </c>
      <c r="C36" s="56" t="s">
        <v>19</v>
      </c>
      <c r="D36" s="22">
        <f>SUM(D38:D44)</f>
        <v>324608.55599999998</v>
      </c>
      <c r="E36" s="22">
        <f>SUM(E38:E44)</f>
        <v>324608.55599999998</v>
      </c>
      <c r="F36" s="22" t="s">
        <v>19</v>
      </c>
      <c r="G36" s="22">
        <f>SUM(G38:G44)</f>
        <v>122110.764898739</v>
      </c>
      <c r="H36" s="22">
        <f>SUM(H38:H44)</f>
        <v>221766.80991329436</v>
      </c>
      <c r="I36" s="22">
        <f>SUM(I38:I44)</f>
        <v>277515.5382079368</v>
      </c>
      <c r="J36" s="22">
        <f>SUM(J38:J44)</f>
        <v>324608.55599999998</v>
      </c>
      <c r="K36" s="35"/>
      <c r="L36" s="20"/>
      <c r="M36" s="165"/>
    </row>
    <row r="37" spans="1:13">
      <c r="A37" s="53"/>
      <c r="B37" s="12" t="s">
        <v>156</v>
      </c>
      <c r="C37" s="56"/>
      <c r="D37" s="22"/>
      <c r="E37" s="22"/>
      <c r="F37" s="22"/>
      <c r="G37" s="22"/>
      <c r="H37" s="22"/>
      <c r="I37" s="22"/>
      <c r="J37" s="22"/>
      <c r="K37" s="35"/>
      <c r="L37" s="20"/>
      <c r="M37" s="165"/>
    </row>
    <row r="38" spans="1:13">
      <c r="A38" s="53">
        <v>4211</v>
      </c>
      <c r="B38" s="10" t="s">
        <v>387</v>
      </c>
      <c r="C38" s="56" t="s">
        <v>25</v>
      </c>
      <c r="D38" s="22"/>
      <c r="E38" s="22"/>
      <c r="F38" s="22" t="s">
        <v>1</v>
      </c>
      <c r="G38" s="22"/>
      <c r="H38" s="22"/>
      <c r="I38" s="22"/>
      <c r="J38" s="22"/>
      <c r="K38" s="35"/>
      <c r="L38" s="20"/>
      <c r="M38" s="165"/>
    </row>
    <row r="39" spans="1:13">
      <c r="A39" s="53">
        <v>4212</v>
      </c>
      <c r="B39" s="10" t="s">
        <v>388</v>
      </c>
      <c r="C39" s="56" t="s">
        <v>26</v>
      </c>
      <c r="D39" s="22">
        <f>+'4.Gorcarakan ev tntesagitakan'!H23+'4.Gorcarakan ev tntesagitakan'!H81+'4.Gorcarakan ev tntesagitakan'!H435+'4.Gorcarakan ev tntesagitakan'!H764</f>
        <v>241557.40299999999</v>
      </c>
      <c r="E39" s="22">
        <f>+'4.Gorcarakan ev tntesagitakan'!I23+'4.Gorcarakan ev tntesagitakan'!I81+'4.Gorcarakan ev tntesagitakan'!I435+'4.Gorcarakan ev tntesagitakan'!I764</f>
        <v>241557.40299999999</v>
      </c>
      <c r="F39" s="22" t="s">
        <v>1</v>
      </c>
      <c r="G39" s="22">
        <f>+'4.Gorcarakan ev tntesagitakan'!K23+'4.Gorcarakan ev tntesagitakan'!K81+'4.Gorcarakan ev tntesagitakan'!K435+'4.Gorcarakan ev tntesagitakan'!K764</f>
        <v>90931.242136834233</v>
      </c>
      <c r="H39" s="22">
        <f>+'4.Gorcarakan ev tntesagitakan'!L23+'4.Gorcarakan ev tntesagitakan'!L81+'4.Gorcarakan ev tntesagitakan'!L435+'4.Gorcarakan ev tntesagitakan'!L764</f>
        <v>169893.67313154836</v>
      </c>
      <c r="I39" s="22">
        <f>+'4.Gorcarakan ev tntesagitakan'!M23+'4.Gorcarakan ev tntesagitakan'!M81+'4.Gorcarakan ev tntesagitakan'!M435+'4.Gorcarakan ev tntesagitakan'!M764</f>
        <v>207368.966116667</v>
      </c>
      <c r="J39" s="22">
        <f>+'4.Gorcarakan ev tntesagitakan'!N23+'4.Gorcarakan ev tntesagitakan'!N81+'4.Gorcarakan ev tntesagitakan'!N435+'4.Gorcarakan ev tntesagitakan'!N764</f>
        <v>241557.40299999999</v>
      </c>
      <c r="K39" s="35"/>
      <c r="L39" s="20"/>
      <c r="M39" s="165"/>
    </row>
    <row r="40" spans="1:13">
      <c r="A40" s="53">
        <v>4213</v>
      </c>
      <c r="B40" s="10" t="s">
        <v>389</v>
      </c>
      <c r="C40" s="56" t="s">
        <v>27</v>
      </c>
      <c r="D40" s="22">
        <f>+'4.Gorcarakan ev tntesagitakan'!H24+'4.Gorcarakan ev tntesagitakan'!H82+'4.Gorcarakan ev tntesagitakan'!H401</f>
        <v>39274.652999999998</v>
      </c>
      <c r="E40" s="22">
        <f>+'4.Gorcarakan ev tntesagitakan'!I24+'4.Gorcarakan ev tntesagitakan'!I82+'4.Gorcarakan ev tntesagitakan'!I401</f>
        <v>39274.652999999998</v>
      </c>
      <c r="F40" s="22" t="s">
        <v>1</v>
      </c>
      <c r="G40" s="22">
        <f>+'4.Gorcarakan ev tntesagitakan'!K24+'4.Gorcarakan ev tntesagitakan'!K82+'4.Gorcarakan ev tntesagitakan'!K401</f>
        <v>13815.260857142857</v>
      </c>
      <c r="H40" s="22">
        <f>+'4.Gorcarakan ev tntesagitakan'!L24+'4.Gorcarakan ev tntesagitakan'!L82+'4.Gorcarakan ev tntesagitakan'!L401</f>
        <v>23322.220511904765</v>
      </c>
      <c r="I40" s="22">
        <f>+'4.Gorcarakan ev tntesagitakan'!M24+'4.Gorcarakan ev tntesagitakan'!M82+'4.Gorcarakan ev tntesagitakan'!M401</f>
        <v>32208.439154761909</v>
      </c>
      <c r="J40" s="22">
        <f>+'4.Gorcarakan ev tntesagitakan'!N24+'4.Gorcarakan ev tntesagitakan'!N82+'4.Gorcarakan ev tntesagitakan'!N401</f>
        <v>39274.652999999998</v>
      </c>
      <c r="K40" s="35"/>
      <c r="L40" s="20"/>
      <c r="M40" s="165"/>
    </row>
    <row r="41" spans="1:13">
      <c r="A41" s="53">
        <v>4214</v>
      </c>
      <c r="B41" s="10" t="s">
        <v>390</v>
      </c>
      <c r="C41" s="56" t="s">
        <v>28</v>
      </c>
      <c r="D41" s="22">
        <f>+'4.Gorcarakan ev tntesagitakan'!H25+'4.Gorcarakan ev tntesagitakan'!H83+'4.Gorcarakan ev tntesagitakan'!H765</f>
        <v>9092.6</v>
      </c>
      <c r="E41" s="22">
        <f>+'4.Gorcarakan ev tntesagitakan'!I25+'4.Gorcarakan ev tntesagitakan'!I83+'4.Gorcarakan ev tntesagitakan'!I765</f>
        <v>9092.6</v>
      </c>
      <c r="F41" s="22" t="s">
        <v>1</v>
      </c>
      <c r="G41" s="22">
        <f>+'4.Gorcarakan ev tntesagitakan'!K25+'4.Gorcarakan ev tntesagitakan'!K83+'4.Gorcarakan ev tntesagitakan'!K765</f>
        <v>3314.0047619047623</v>
      </c>
      <c r="H41" s="22">
        <f>+'4.Gorcarakan ev tntesagitakan'!L25+'4.Gorcarakan ev tntesagitakan'!L83+'4.Gorcarakan ev tntesagitakan'!L765</f>
        <v>5514.99126984127</v>
      </c>
      <c r="I41" s="22">
        <f>+'4.Gorcarakan ev tntesagitakan'!M25+'4.Gorcarakan ev tntesagitakan'!M83+'4.Gorcarakan ev tntesagitakan'!M765</f>
        <v>7896.3865079365078</v>
      </c>
      <c r="J41" s="22">
        <f>+'4.Gorcarakan ev tntesagitakan'!N25+'4.Gorcarakan ev tntesagitakan'!N83+'4.Gorcarakan ev tntesagitakan'!N765</f>
        <v>9092.6</v>
      </c>
      <c r="K41" s="35"/>
      <c r="L41" s="20"/>
      <c r="M41" s="165"/>
    </row>
    <row r="42" spans="1:13">
      <c r="A42" s="53">
        <v>4215</v>
      </c>
      <c r="B42" s="10" t="s">
        <v>391</v>
      </c>
      <c r="C42" s="56" t="s">
        <v>29</v>
      </c>
      <c r="D42" s="22">
        <f>+'4.Gorcarakan ev tntesagitakan'!H26+'4.Gorcarakan ev tntesagitakan'!H364+'4.Gorcarakan ev tntesagitakan'!H452</f>
        <v>21779.5</v>
      </c>
      <c r="E42" s="22">
        <f>+'4.Gorcarakan ev tntesagitakan'!I26+'4.Gorcarakan ev tntesagitakan'!I364+'4.Gorcarakan ev tntesagitakan'!I452</f>
        <v>21779.5</v>
      </c>
      <c r="F42" s="22" t="s">
        <v>1</v>
      </c>
      <c r="G42" s="22">
        <f>+'4.Gorcarakan ev tntesagitakan'!K26+'4.Gorcarakan ev tntesagitakan'!K364+'4.Gorcarakan ev tntesagitakan'!K452</f>
        <v>7829.0952380952385</v>
      </c>
      <c r="H42" s="22">
        <f>+'4.Gorcarakan ev tntesagitakan'!L26+'4.Gorcarakan ev tntesagitakan'!L364+'4.Gorcarakan ev tntesagitakan'!L452</f>
        <v>13101.117063492064</v>
      </c>
      <c r="I42" s="22">
        <f>+'4.Gorcarakan ev tntesagitakan'!M26+'4.Gorcarakan ev tntesagitakan'!M364+'4.Gorcarakan ev tntesagitakan'!M452</f>
        <v>18805.271825396827</v>
      </c>
      <c r="J42" s="22">
        <f>+'4.Gorcarakan ev tntesagitakan'!N26+'4.Gorcarakan ev tntesagitakan'!N364+'4.Gorcarakan ev tntesagitakan'!N452</f>
        <v>21779.5</v>
      </c>
      <c r="K42" s="35"/>
      <c r="L42" s="20"/>
      <c r="M42" s="165"/>
    </row>
    <row r="43" spans="1:13">
      <c r="A43" s="53">
        <v>4216</v>
      </c>
      <c r="B43" s="10" t="s">
        <v>392</v>
      </c>
      <c r="C43" s="56" t="s">
        <v>30</v>
      </c>
      <c r="D43" s="22">
        <f>+'4.Gorcarakan ev tntesagitakan'!H27+'4.Gorcarakan ev tntesagitakan'!H361+'4.Gorcarakan ev tntesagitakan'!H553+'4.Gorcarakan ev tntesagitakan'!H561+'4.Gorcarakan ev tntesagitakan'!H767</f>
        <v>12904.4</v>
      </c>
      <c r="E43" s="22">
        <f>+'4.Gorcarakan ev tntesagitakan'!I27+'4.Gorcarakan ev tntesagitakan'!I361+'4.Gorcarakan ev tntesagitakan'!I553+'4.Gorcarakan ev tntesagitakan'!I561+'4.Gorcarakan ev tntesagitakan'!I767</f>
        <v>12904.4</v>
      </c>
      <c r="F43" s="22" t="s">
        <v>1</v>
      </c>
      <c r="G43" s="22">
        <f>+'4.Gorcarakan ev tntesagitakan'!K27+'4.Gorcarakan ev tntesagitakan'!K361+'4.Gorcarakan ev tntesagitakan'!K553+'4.Gorcarakan ev tntesagitakan'!K561+'4.Gorcarakan ev tntesagitakan'!K767</f>
        <v>6221.1619047619042</v>
      </c>
      <c r="H43" s="22">
        <f>+'4.Gorcarakan ev tntesagitakan'!L27+'4.Gorcarakan ev tntesagitakan'!L361+'4.Gorcarakan ev tntesagitakan'!L553+'4.Gorcarakan ev tntesagitakan'!L561+'4.Gorcarakan ev tntesagitakan'!L767</f>
        <v>9934.8079365078884</v>
      </c>
      <c r="I43" s="22">
        <f>+'4.Gorcarakan ev tntesagitakan'!M27+'4.Gorcarakan ev tntesagitakan'!M361+'4.Gorcarakan ev tntesagitakan'!M553+'4.Gorcarakan ev tntesagitakan'!M561+'4.Gorcarakan ev tntesagitakan'!M767</f>
        <v>11236.474603174556</v>
      </c>
      <c r="J43" s="22">
        <f>+'4.Gorcarakan ev tntesagitakan'!N27+'4.Gorcarakan ev tntesagitakan'!N361+'4.Gorcarakan ev tntesagitakan'!N553+'4.Gorcarakan ev tntesagitakan'!N561+'4.Gorcarakan ev tntesagitakan'!N767</f>
        <v>12904.4</v>
      </c>
      <c r="K43" s="35"/>
      <c r="L43" s="20"/>
      <c r="M43" s="165"/>
    </row>
    <row r="44" spans="1:13">
      <c r="A44" s="53">
        <v>4217</v>
      </c>
      <c r="B44" s="10" t="s">
        <v>393</v>
      </c>
      <c r="C44" s="56" t="s">
        <v>31</v>
      </c>
      <c r="D44" s="22">
        <f>+'4.Gorcarakan ev tntesagitakan'!H28</f>
        <v>0</v>
      </c>
      <c r="E44" s="22">
        <f>+'4.Gorcarakan ev tntesagitakan'!I28</f>
        <v>0</v>
      </c>
      <c r="F44" s="22" t="s">
        <v>1</v>
      </c>
      <c r="G44" s="22">
        <f>+'4.Gorcarakan ev tntesagitakan'!K28</f>
        <v>0</v>
      </c>
      <c r="H44" s="22">
        <f>+'4.Gorcarakan ev tntesagitakan'!L28</f>
        <v>0</v>
      </c>
      <c r="I44" s="22">
        <f>+'4.Gorcarakan ev tntesagitakan'!M28</f>
        <v>0</v>
      </c>
      <c r="J44" s="22">
        <f>+'4.Gorcarakan ev tntesagitakan'!N28</f>
        <v>0</v>
      </c>
      <c r="K44" s="35"/>
      <c r="L44" s="20"/>
      <c r="M44" s="165"/>
    </row>
    <row r="45" spans="1:13" ht="27">
      <c r="A45" s="53">
        <v>4220</v>
      </c>
      <c r="B45" s="10" t="s">
        <v>394</v>
      </c>
      <c r="C45" s="56" t="s">
        <v>19</v>
      </c>
      <c r="D45" s="22">
        <f>SUM(D47:D49)</f>
        <v>32300</v>
      </c>
      <c r="E45" s="22">
        <f>SUM(E47:E49)</f>
        <v>32300</v>
      </c>
      <c r="F45" s="22" t="s">
        <v>1</v>
      </c>
      <c r="G45" s="22">
        <f>SUM(G47:G49)</f>
        <v>11976.190476190479</v>
      </c>
      <c r="H45" s="22">
        <f>SUM(H47:H49)</f>
        <v>24151.984126984127</v>
      </c>
      <c r="I45" s="22">
        <f>SUM(I47:I49)</f>
        <v>31325.793650793676</v>
      </c>
      <c r="J45" s="22">
        <f>SUM(J47:J49)</f>
        <v>32300</v>
      </c>
      <c r="K45" s="35"/>
      <c r="L45" s="20"/>
      <c r="M45" s="165"/>
    </row>
    <row r="46" spans="1:13">
      <c r="A46" s="53"/>
      <c r="B46" s="12" t="s">
        <v>156</v>
      </c>
      <c r="C46" s="56"/>
      <c r="D46" s="22"/>
      <c r="E46" s="22"/>
      <c r="F46" s="22"/>
      <c r="G46" s="22"/>
      <c r="H46" s="22"/>
      <c r="I46" s="22"/>
      <c r="J46" s="22"/>
      <c r="K46" s="35"/>
      <c r="L46" s="20"/>
      <c r="M46" s="165"/>
    </row>
    <row r="47" spans="1:13">
      <c r="A47" s="53">
        <v>4221</v>
      </c>
      <c r="B47" s="10" t="s">
        <v>395</v>
      </c>
      <c r="C47" s="57">
        <v>4221</v>
      </c>
      <c r="D47" s="22">
        <f>+'4.Gorcarakan ev tntesagitakan'!H29+'4.Gorcarakan ev tntesagitakan'!H84+'4.Gorcarakan ev tntesagitakan'!H547+'4.Gorcarakan ev tntesagitakan'!H769</f>
        <v>30300</v>
      </c>
      <c r="E47" s="22">
        <f>+'4.Gorcarakan ev tntesagitakan'!I29+'4.Gorcarakan ev tntesagitakan'!I84+'4.Gorcarakan ev tntesagitakan'!I547+'4.Gorcarakan ev tntesagitakan'!I769</f>
        <v>30300</v>
      </c>
      <c r="F47" s="22" t="s">
        <v>1</v>
      </c>
      <c r="G47" s="22">
        <f>+'4.Gorcarakan ev tntesagitakan'!K29+'4.Gorcarakan ev tntesagitakan'!K84+'4.Gorcarakan ev tntesagitakan'!K547+'4.Gorcarakan ev tntesagitakan'!K769</f>
        <v>11500.000000000002</v>
      </c>
      <c r="H47" s="22">
        <f>+'4.Gorcarakan ev tntesagitakan'!L29+'4.Gorcarakan ev tntesagitakan'!L84+'4.Gorcarakan ev tntesagitakan'!L547+'4.Gorcarakan ev tntesagitakan'!L769</f>
        <v>23191.666666666668</v>
      </c>
      <c r="I47" s="22">
        <f>+'4.Gorcarakan ev tntesagitakan'!M29+'4.Gorcarakan ev tntesagitakan'!M84+'4.Gorcarakan ev tntesagitakan'!M547+'4.Gorcarakan ev tntesagitakan'!M769</f>
        <v>29841.66666666669</v>
      </c>
      <c r="J47" s="22">
        <f>+'4.Gorcarakan ev tntesagitakan'!N29+'4.Gorcarakan ev tntesagitakan'!N84+'4.Gorcarakan ev tntesagitakan'!N547+'4.Gorcarakan ev tntesagitakan'!N769</f>
        <v>30300</v>
      </c>
      <c r="K47" s="35"/>
      <c r="L47" s="20"/>
      <c r="M47" s="165"/>
    </row>
    <row r="48" spans="1:13">
      <c r="A48" s="53">
        <v>4222</v>
      </c>
      <c r="B48" s="10" t="s">
        <v>396</v>
      </c>
      <c r="C48" s="56" t="s">
        <v>32</v>
      </c>
      <c r="D48" s="22">
        <f>+'4.Gorcarakan ev tntesagitakan'!H30+'4.Gorcarakan ev tntesagitakan'!H548</f>
        <v>2000</v>
      </c>
      <c r="E48" s="22">
        <f>+'4.Gorcarakan ev tntesagitakan'!I30+'4.Gorcarakan ev tntesagitakan'!I548</f>
        <v>2000</v>
      </c>
      <c r="F48" s="22" t="s">
        <v>1</v>
      </c>
      <c r="G48" s="22">
        <f>+'4.Gorcarakan ev tntesagitakan'!K30+'4.Gorcarakan ev tntesagitakan'!K548</f>
        <v>476.1904761904762</v>
      </c>
      <c r="H48" s="22">
        <f>+'4.Gorcarakan ev tntesagitakan'!L30+'4.Gorcarakan ev tntesagitakan'!L548</f>
        <v>960.31746031746036</v>
      </c>
      <c r="I48" s="22">
        <f>+'4.Gorcarakan ev tntesagitakan'!M30+'4.Gorcarakan ev tntesagitakan'!M548</f>
        <v>1484.1269841269841</v>
      </c>
      <c r="J48" s="22">
        <f>+'4.Gorcarakan ev tntesagitakan'!N30+'4.Gorcarakan ev tntesagitakan'!N548</f>
        <v>2000</v>
      </c>
      <c r="K48" s="35"/>
      <c r="L48" s="20"/>
      <c r="M48" s="165"/>
    </row>
    <row r="49" spans="1:13">
      <c r="A49" s="53">
        <v>4223</v>
      </c>
      <c r="B49" s="10" t="s">
        <v>397</v>
      </c>
      <c r="C49" s="56" t="s">
        <v>33</v>
      </c>
      <c r="D49" s="22"/>
      <c r="E49" s="22"/>
      <c r="F49" s="22" t="s">
        <v>1</v>
      </c>
      <c r="G49" s="22">
        <f>SUM(H49:I49)</f>
        <v>0</v>
      </c>
      <c r="H49" s="22">
        <f>SUM(I49:J49)</f>
        <v>0</v>
      </c>
      <c r="I49" s="22">
        <f>SUM(J49:L49)</f>
        <v>0</v>
      </c>
      <c r="J49" s="22">
        <f>SUM(L49:L49)</f>
        <v>0</v>
      </c>
      <c r="K49" s="35"/>
      <c r="L49" s="20"/>
      <c r="M49" s="165"/>
    </row>
    <row r="50" spans="1:13" ht="54">
      <c r="A50" s="53">
        <v>4230</v>
      </c>
      <c r="B50" s="10" t="s">
        <v>398</v>
      </c>
      <c r="C50" s="56" t="s">
        <v>19</v>
      </c>
      <c r="D50" s="22">
        <f>SUM(D52:D59)</f>
        <v>142235.87</v>
      </c>
      <c r="E50" s="22">
        <f>SUM(E52:E59)</f>
        <v>142235.87</v>
      </c>
      <c r="F50" s="22" t="s">
        <v>1</v>
      </c>
      <c r="G50" s="22">
        <f>SUM(G52:G59)</f>
        <v>34962.777142857143</v>
      </c>
      <c r="H50" s="22">
        <f>SUM(H52:H59)</f>
        <v>63235.466309524163</v>
      </c>
      <c r="I50" s="22">
        <f>SUM(I52:I59)</f>
        <v>120088.64654761902</v>
      </c>
      <c r="J50" s="22">
        <f>SUM(J52:J59)</f>
        <v>142235.87</v>
      </c>
      <c r="K50" s="35"/>
      <c r="L50" s="20"/>
      <c r="M50" s="165"/>
    </row>
    <row r="51" spans="1:13">
      <c r="A51" s="53"/>
      <c r="B51" s="12" t="s">
        <v>156</v>
      </c>
      <c r="C51" s="56"/>
      <c r="D51" s="22"/>
      <c r="E51" s="22"/>
      <c r="F51" s="22"/>
      <c r="G51" s="22"/>
      <c r="H51" s="22"/>
      <c r="I51" s="22"/>
      <c r="J51" s="22"/>
      <c r="K51" s="35"/>
      <c r="L51" s="20"/>
      <c r="M51" s="165"/>
    </row>
    <row r="52" spans="1:13">
      <c r="A52" s="53">
        <v>4231</v>
      </c>
      <c r="B52" s="10" t="s">
        <v>399</v>
      </c>
      <c r="C52" s="56" t="s">
        <v>34</v>
      </c>
      <c r="D52" s="22"/>
      <c r="E52" s="22"/>
      <c r="F52" s="22" t="s">
        <v>1</v>
      </c>
      <c r="G52" s="22"/>
      <c r="H52" s="22"/>
      <c r="I52" s="22"/>
      <c r="J52" s="22"/>
      <c r="K52" s="35"/>
      <c r="L52" s="20"/>
      <c r="M52" s="165"/>
    </row>
    <row r="53" spans="1:13">
      <c r="A53" s="53">
        <v>4232</v>
      </c>
      <c r="B53" s="10" t="s">
        <v>400</v>
      </c>
      <c r="C53" s="56" t="s">
        <v>35</v>
      </c>
      <c r="D53" s="22">
        <f>+'4.Gorcarakan ev tntesagitakan'!H31</f>
        <v>18000</v>
      </c>
      <c r="E53" s="22">
        <f>+'4.Gorcarakan ev tntesagitakan'!I31</f>
        <v>18000</v>
      </c>
      <c r="F53" s="22" t="s">
        <v>1</v>
      </c>
      <c r="G53" s="22">
        <f>+'4.Gorcarakan ev tntesagitakan'!K31</f>
        <v>4285.7142857142862</v>
      </c>
      <c r="H53" s="22">
        <f>+'4.Gorcarakan ev tntesagitakan'!L31</f>
        <v>8642.8571428571431</v>
      </c>
      <c r="I53" s="22">
        <f>+'4.Gorcarakan ev tntesagitakan'!M31</f>
        <v>13357.142857142857</v>
      </c>
      <c r="J53" s="22">
        <f>+'4.Gorcarakan ev tntesagitakan'!N31</f>
        <v>18000</v>
      </c>
      <c r="K53" s="35"/>
      <c r="L53" s="20"/>
      <c r="M53" s="165"/>
    </row>
    <row r="54" spans="1:13" ht="27">
      <c r="A54" s="53">
        <v>4233</v>
      </c>
      <c r="B54" s="10" t="s">
        <v>401</v>
      </c>
      <c r="C54" s="56" t="s">
        <v>36</v>
      </c>
      <c r="D54" s="22"/>
      <c r="E54" s="22"/>
      <c r="F54" s="22" t="s">
        <v>1</v>
      </c>
      <c r="G54" s="22"/>
      <c r="H54" s="22"/>
      <c r="I54" s="22"/>
      <c r="J54" s="22"/>
      <c r="K54" s="35"/>
      <c r="L54" s="20"/>
      <c r="M54" s="165"/>
    </row>
    <row r="55" spans="1:13">
      <c r="A55" s="53">
        <v>4234</v>
      </c>
      <c r="B55" s="10" t="s">
        <v>402</v>
      </c>
      <c r="C55" s="56" t="s">
        <v>37</v>
      </c>
      <c r="D55" s="22">
        <f>+'4.Gorcarakan ev tntesagitakan'!H32</f>
        <v>6669</v>
      </c>
      <c r="E55" s="22">
        <f>+'4.Gorcarakan ev tntesagitakan'!I32</f>
        <v>6669</v>
      </c>
      <c r="F55" s="22" t="s">
        <v>1</v>
      </c>
      <c r="G55" s="22">
        <f>+'4.Gorcarakan ev tntesagitakan'!K32</f>
        <v>1961.0571428571429</v>
      </c>
      <c r="H55" s="22">
        <f>+'4.Gorcarakan ev tntesagitakan'!L32</f>
        <v>3575.3785714285714</v>
      </c>
      <c r="I55" s="22">
        <f>+'4.Gorcarakan ev tntesagitakan'!M32</f>
        <v>5322.0214285714283</v>
      </c>
      <c r="J55" s="22">
        <f>+'4.Gorcarakan ev tntesagitakan'!N32</f>
        <v>6669</v>
      </c>
      <c r="K55" s="35"/>
      <c r="L55" s="20"/>
      <c r="M55" s="165"/>
    </row>
    <row r="56" spans="1:13">
      <c r="A56" s="53">
        <v>4235</v>
      </c>
      <c r="B56" s="72" t="s">
        <v>403</v>
      </c>
      <c r="C56" s="7">
        <v>4235</v>
      </c>
      <c r="D56" s="22"/>
      <c r="E56" s="22"/>
      <c r="F56" s="22" t="s">
        <v>1</v>
      </c>
      <c r="G56" s="22"/>
      <c r="H56" s="22"/>
      <c r="I56" s="22"/>
      <c r="J56" s="22"/>
      <c r="K56" s="35"/>
      <c r="L56" s="20"/>
      <c r="M56" s="165"/>
    </row>
    <row r="57" spans="1:13">
      <c r="A57" s="53">
        <v>4236</v>
      </c>
      <c r="B57" s="10" t="s">
        <v>404</v>
      </c>
      <c r="C57" s="56" t="s">
        <v>38</v>
      </c>
      <c r="D57" s="22"/>
      <c r="E57" s="22"/>
      <c r="F57" s="22" t="s">
        <v>1</v>
      </c>
      <c r="G57" s="22"/>
      <c r="H57" s="22"/>
      <c r="I57" s="22"/>
      <c r="J57" s="22"/>
      <c r="K57" s="35"/>
      <c r="L57" s="20"/>
      <c r="M57" s="165"/>
    </row>
    <row r="58" spans="1:13">
      <c r="A58" s="53">
        <v>4237</v>
      </c>
      <c r="B58" s="10" t="s">
        <v>405</v>
      </c>
      <c r="C58" s="56" t="s">
        <v>39</v>
      </c>
      <c r="D58" s="22">
        <f>+'4.Gorcarakan ev tntesagitakan'!H33</f>
        <v>16308.2</v>
      </c>
      <c r="E58" s="22">
        <f>+'4.Gorcarakan ev tntesagitakan'!I33</f>
        <v>16308.2</v>
      </c>
      <c r="F58" s="22" t="s">
        <v>1</v>
      </c>
      <c r="G58" s="22">
        <f>+'4.Gorcarakan ev tntesagitakan'!K33</f>
        <v>4191.1047619047613</v>
      </c>
      <c r="H58" s="22">
        <f>+'4.Gorcarakan ev tntesagitakan'!L33</f>
        <v>8138.7246031746026</v>
      </c>
      <c r="I58" s="22">
        <f>+'4.Gorcarakan ev tntesagitakan'!M33</f>
        <v>12409.919841269841</v>
      </c>
      <c r="J58" s="22">
        <f>+'4.Gorcarakan ev tntesagitakan'!N33</f>
        <v>16308.2</v>
      </c>
      <c r="K58" s="35"/>
      <c r="L58" s="20"/>
      <c r="M58" s="165"/>
    </row>
    <row r="59" spans="1:13">
      <c r="A59" s="53">
        <v>4238</v>
      </c>
      <c r="B59" s="10" t="s">
        <v>406</v>
      </c>
      <c r="C59" s="56" t="s">
        <v>40</v>
      </c>
      <c r="D59" s="22">
        <f>+'4.Gorcarakan ev tntesagitakan'!H34+'4.Gorcarakan ev tntesagitakan'!H85+'4.Gorcarakan ev tntesagitakan'!H162+'4.Gorcarakan ev tntesagitakan'!H283+'4.Gorcarakan ev tntesagitakan'!H362+'4.Gorcarakan ev tntesagitakan'!H410+'4.Gorcarakan ev tntesagitakan'!H436+'4.Gorcarakan ev tntesagitakan'!H453+'4.Gorcarakan ev tntesagitakan'!H726+'4.Gorcarakan ev tntesagitakan'!H750</f>
        <v>101258.67</v>
      </c>
      <c r="E59" s="22">
        <f>+'4.Gorcarakan ev tntesagitakan'!I34+'4.Gorcarakan ev tntesagitakan'!I85+'4.Gorcarakan ev tntesagitakan'!I162+'4.Gorcarakan ev tntesagitakan'!I283+'4.Gorcarakan ev tntesagitakan'!I362+'4.Gorcarakan ev tntesagitakan'!I410+'4.Gorcarakan ev tntesagitakan'!I436+'4.Gorcarakan ev tntesagitakan'!I453+'4.Gorcarakan ev tntesagitakan'!I726+'4.Gorcarakan ev tntesagitakan'!I750</f>
        <v>101258.67</v>
      </c>
      <c r="F59" s="22" t="s">
        <v>1</v>
      </c>
      <c r="G59" s="22">
        <f>+'4.Gorcarakan ev tntesagitakan'!K34+'4.Gorcarakan ev tntesagitakan'!K85+'4.Gorcarakan ev tntesagitakan'!K162+'4.Gorcarakan ev tntesagitakan'!K283+'4.Gorcarakan ev tntesagitakan'!K362+'4.Gorcarakan ev tntesagitakan'!K410+'4.Gorcarakan ev tntesagitakan'!K436+'4.Gorcarakan ev tntesagitakan'!K453+'4.Gorcarakan ev tntesagitakan'!K726+'4.Gorcarakan ev tntesagitakan'!K750</f>
        <v>24524.900952380955</v>
      </c>
      <c r="H59" s="22">
        <f>+'4.Gorcarakan ev tntesagitakan'!L34+'4.Gorcarakan ev tntesagitakan'!L85+'4.Gorcarakan ev tntesagitakan'!L162+'4.Gorcarakan ev tntesagitakan'!L283+'4.Gorcarakan ev tntesagitakan'!L362+'4.Gorcarakan ev tntesagitakan'!L410+'4.Gorcarakan ev tntesagitakan'!L436+'4.Gorcarakan ev tntesagitakan'!L453+'4.Gorcarakan ev tntesagitakan'!L726+'4.Gorcarakan ev tntesagitakan'!L750</f>
        <v>42878.505992063845</v>
      </c>
      <c r="I59" s="22">
        <f>+'4.Gorcarakan ev tntesagitakan'!M34+'4.Gorcarakan ev tntesagitakan'!M85+'4.Gorcarakan ev tntesagitakan'!M162+'4.Gorcarakan ev tntesagitakan'!M283+'4.Gorcarakan ev tntesagitakan'!M362+'4.Gorcarakan ev tntesagitakan'!M410+'4.Gorcarakan ev tntesagitakan'!M436+'4.Gorcarakan ev tntesagitakan'!M453+'4.Gorcarakan ev tntesagitakan'!M726+'4.Gorcarakan ev tntesagitakan'!M750</f>
        <v>88999.562420634902</v>
      </c>
      <c r="J59" s="22">
        <f>+'4.Gorcarakan ev tntesagitakan'!N34+'4.Gorcarakan ev tntesagitakan'!N85+'4.Gorcarakan ev tntesagitakan'!N162+'4.Gorcarakan ev tntesagitakan'!N283+'4.Gorcarakan ev tntesagitakan'!N362+'4.Gorcarakan ev tntesagitakan'!N410+'4.Gorcarakan ev tntesagitakan'!N436+'4.Gorcarakan ev tntesagitakan'!N453+'4.Gorcarakan ev tntesagitakan'!N726+'4.Gorcarakan ev tntesagitakan'!N750</f>
        <v>101258.67</v>
      </c>
      <c r="K59" s="35"/>
      <c r="L59" s="20"/>
      <c r="M59" s="165"/>
    </row>
    <row r="60" spans="1:13" ht="27">
      <c r="A60" s="53">
        <v>4240</v>
      </c>
      <c r="B60" s="10" t="s">
        <v>407</v>
      </c>
      <c r="C60" s="56" t="s">
        <v>19</v>
      </c>
      <c r="D60" s="22">
        <f>+D62</f>
        <v>47869.3</v>
      </c>
      <c r="E60" s="22">
        <f>+E62</f>
        <v>47869.3</v>
      </c>
      <c r="F60" s="22" t="s">
        <v>1</v>
      </c>
      <c r="G60" s="22">
        <f>+G62</f>
        <v>11659.990476190476</v>
      </c>
      <c r="H60" s="22">
        <f>+H62</f>
        <v>21310.892460317456</v>
      </c>
      <c r="I60" s="22">
        <f>+I62</f>
        <v>36816.634920634911</v>
      </c>
      <c r="J60" s="22">
        <f>+J62</f>
        <v>47869.3</v>
      </c>
      <c r="K60" s="35"/>
      <c r="L60" s="20"/>
      <c r="M60" s="165"/>
    </row>
    <row r="61" spans="1:13">
      <c r="A61" s="53"/>
      <c r="B61" s="12" t="s">
        <v>156</v>
      </c>
      <c r="C61" s="56"/>
      <c r="D61" s="22"/>
      <c r="E61" s="22"/>
      <c r="F61" s="22"/>
      <c r="G61" s="22"/>
      <c r="H61" s="22"/>
      <c r="I61" s="22"/>
      <c r="J61" s="22"/>
      <c r="K61" s="35"/>
      <c r="L61" s="20"/>
      <c r="M61" s="165"/>
    </row>
    <row r="62" spans="1:13">
      <c r="A62" s="53">
        <v>4241</v>
      </c>
      <c r="B62" s="10" t="s">
        <v>408</v>
      </c>
      <c r="C62" s="56" t="s">
        <v>41</v>
      </c>
      <c r="D62" s="22">
        <f>+'4.Gorcarakan ev tntesagitakan'!H35+'4.Gorcarakan ev tntesagitakan'!H98+'4.Gorcarakan ev tntesagitakan'!H105+'4.Gorcarakan ev tntesagitakan'!H365+'4.Gorcarakan ev tntesagitakan'!H454</f>
        <v>47869.3</v>
      </c>
      <c r="E62" s="22">
        <f>+'4.Gorcarakan ev tntesagitakan'!I35+'4.Gorcarakan ev tntesagitakan'!I98+'4.Gorcarakan ev tntesagitakan'!I105+'4.Gorcarakan ev tntesagitakan'!I365+'4.Gorcarakan ev tntesagitakan'!I454</f>
        <v>47869.3</v>
      </c>
      <c r="F62" s="22" t="s">
        <v>1</v>
      </c>
      <c r="G62" s="22">
        <f>+'4.Gorcarakan ev tntesagitakan'!K35+'4.Gorcarakan ev tntesagitakan'!K98+'4.Gorcarakan ev tntesagitakan'!K105+'4.Gorcarakan ev tntesagitakan'!K365+'4.Gorcarakan ev tntesagitakan'!K454</f>
        <v>11659.990476190476</v>
      </c>
      <c r="H62" s="22">
        <f>+'4.Gorcarakan ev tntesagitakan'!L35+'4.Gorcarakan ev tntesagitakan'!L98+'4.Gorcarakan ev tntesagitakan'!L105+'4.Gorcarakan ev tntesagitakan'!L365+'4.Gorcarakan ev tntesagitakan'!L454</f>
        <v>21310.892460317456</v>
      </c>
      <c r="I62" s="22">
        <f>+'4.Gorcarakan ev tntesagitakan'!M35+'4.Gorcarakan ev tntesagitakan'!M98+'4.Gorcarakan ev tntesagitakan'!M105+'4.Gorcarakan ev tntesagitakan'!M365+'4.Gorcarakan ev tntesagitakan'!M454</f>
        <v>36816.634920634911</v>
      </c>
      <c r="J62" s="22">
        <f>+'4.Gorcarakan ev tntesagitakan'!N35+'4.Gorcarakan ev tntesagitakan'!N98+'4.Gorcarakan ev tntesagitakan'!N105+'4.Gorcarakan ev tntesagitakan'!N365+'4.Gorcarakan ev tntesagitakan'!N454</f>
        <v>47869.3</v>
      </c>
      <c r="K62" s="35"/>
      <c r="L62" s="20"/>
      <c r="M62" s="165"/>
    </row>
    <row r="63" spans="1:13" ht="27">
      <c r="A63" s="53">
        <v>4250</v>
      </c>
      <c r="B63" s="10" t="s">
        <v>409</v>
      </c>
      <c r="C63" s="56" t="s">
        <v>19</v>
      </c>
      <c r="D63" s="22">
        <f>SUM(D65:D66)</f>
        <v>361496</v>
      </c>
      <c r="E63" s="22">
        <f>SUM(E65:E66)</f>
        <v>361496</v>
      </c>
      <c r="F63" s="22" t="s">
        <v>1</v>
      </c>
      <c r="G63" s="22">
        <f>SUM(G65:G66)</f>
        <v>51546.666666666672</v>
      </c>
      <c r="H63" s="22">
        <f>SUM(H65:H66)</f>
        <v>103661.16269841268</v>
      </c>
      <c r="I63" s="22">
        <f>SUM(I65:I66)</f>
        <v>258088.91666666666</v>
      </c>
      <c r="J63" s="22">
        <f>SUM(J65:J66)</f>
        <v>361496</v>
      </c>
      <c r="K63" s="35"/>
      <c r="L63" s="20"/>
      <c r="M63" s="165"/>
    </row>
    <row r="64" spans="1:13">
      <c r="A64" s="53"/>
      <c r="B64" s="12" t="s">
        <v>156</v>
      </c>
      <c r="C64" s="56"/>
      <c r="D64" s="22"/>
      <c r="E64" s="22"/>
      <c r="F64" s="22"/>
      <c r="G64" s="22"/>
      <c r="H64" s="22"/>
      <c r="I64" s="22"/>
      <c r="J64" s="22"/>
      <c r="K64" s="35"/>
      <c r="L64" s="20"/>
      <c r="M64" s="165"/>
    </row>
    <row r="65" spans="1:13" ht="27">
      <c r="A65" s="53">
        <v>4251</v>
      </c>
      <c r="B65" s="10" t="s">
        <v>410</v>
      </c>
      <c r="C65" s="56" t="s">
        <v>42</v>
      </c>
      <c r="D65" s="22">
        <f>+'4.Gorcarakan ev tntesagitakan'!H284+'4.Gorcarakan ev tntesagitakan'!H405+'4.Gorcarakan ev tntesagitakan'!H455+'4.Gorcarakan ev tntesagitakan'!H592+'4.Gorcarakan ev tntesagitakan'!H568+'4.Gorcarakan ev tntesagitakan'!H696</f>
        <v>356000</v>
      </c>
      <c r="E65" s="22">
        <f>+'4.Gorcarakan ev tntesagitakan'!I284+'4.Gorcarakan ev tntesagitakan'!I405+'4.Gorcarakan ev tntesagitakan'!I455+'4.Gorcarakan ev tntesagitakan'!I592+'4.Gorcarakan ev tntesagitakan'!I568+'4.Gorcarakan ev tntesagitakan'!I696</f>
        <v>356000</v>
      </c>
      <c r="F65" s="22" t="s">
        <v>1</v>
      </c>
      <c r="G65" s="22">
        <f>+'4.Gorcarakan ev tntesagitakan'!K284+'4.Gorcarakan ev tntesagitakan'!K405+'4.Gorcarakan ev tntesagitakan'!K455+'4.Gorcarakan ev tntesagitakan'!K592+'4.Gorcarakan ev tntesagitakan'!K568+'4.Gorcarakan ev tntesagitakan'!K696</f>
        <v>49761.904761904763</v>
      </c>
      <c r="H65" s="22">
        <f>+'4.Gorcarakan ev tntesagitakan'!L284+'4.Gorcarakan ev tntesagitakan'!L405+'4.Gorcarakan ev tntesagitakan'!L455+'4.Gorcarakan ev tntesagitakan'!L592+'4.Gorcarakan ev tntesagitakan'!L568+'4.Gorcarakan ev tntesagitakan'!L696</f>
        <v>100353.17460317459</v>
      </c>
      <c r="I65" s="22">
        <f>+'4.Gorcarakan ev tntesagitakan'!M284+'4.Gorcarakan ev tntesagitakan'!M405+'4.Gorcarakan ev tntesagitakan'!M455+'4.Gorcarakan ev tntesagitakan'!M592+'4.Gorcarakan ev tntesagitakan'!M568+'4.Gorcarakan ev tntesagitakan'!M696</f>
        <v>253678.57142857142</v>
      </c>
      <c r="J65" s="22">
        <f>+'4.Gorcarakan ev tntesagitakan'!N284+'4.Gorcarakan ev tntesagitakan'!N405+'4.Gorcarakan ev tntesagitakan'!N455+'4.Gorcarakan ev tntesagitakan'!N592+'4.Gorcarakan ev tntesagitakan'!N568+'4.Gorcarakan ev tntesagitakan'!N696</f>
        <v>356000</v>
      </c>
      <c r="K65" s="35"/>
      <c r="L65" s="20"/>
      <c r="M65" s="165"/>
    </row>
    <row r="66" spans="1:13" ht="27">
      <c r="A66" s="53">
        <v>4252</v>
      </c>
      <c r="B66" s="10" t="s">
        <v>411</v>
      </c>
      <c r="C66" s="56" t="s">
        <v>43</v>
      </c>
      <c r="D66" s="22">
        <f>+'4.Gorcarakan ev tntesagitakan'!H37+'4.Gorcarakan ev tntesagitakan'!H366+'4.Gorcarakan ev tntesagitakan'!H456</f>
        <v>5496</v>
      </c>
      <c r="E66" s="22">
        <f>+'4.Gorcarakan ev tntesagitakan'!I37+'4.Gorcarakan ev tntesagitakan'!I366+'4.Gorcarakan ev tntesagitakan'!I456</f>
        <v>5496</v>
      </c>
      <c r="F66" s="22" t="s">
        <v>1</v>
      </c>
      <c r="G66" s="22">
        <f>+'4.Gorcarakan ev tntesagitakan'!K37+'4.Gorcarakan ev tntesagitakan'!K366+'4.Gorcarakan ev tntesagitakan'!K456</f>
        <v>1784.7619047619048</v>
      </c>
      <c r="H66" s="22">
        <f>+'4.Gorcarakan ev tntesagitakan'!L37+'4.Gorcarakan ev tntesagitakan'!L366+'4.Gorcarakan ev tntesagitakan'!L456</f>
        <v>3307.9880952380954</v>
      </c>
      <c r="I66" s="22">
        <f>+'4.Gorcarakan ev tntesagitakan'!M37+'4.Gorcarakan ev tntesagitakan'!M366+'4.Gorcarakan ev tntesagitakan'!M456</f>
        <v>4410.3452380952385</v>
      </c>
      <c r="J66" s="22">
        <f>+'4.Gorcarakan ev tntesagitakan'!N37+'4.Gorcarakan ev tntesagitakan'!N366+'4.Gorcarakan ev tntesagitakan'!N456</f>
        <v>5496</v>
      </c>
      <c r="K66" s="35"/>
      <c r="L66" s="20"/>
      <c r="M66" s="165"/>
    </row>
    <row r="67" spans="1:13" ht="40.5">
      <c r="A67" s="53">
        <v>4260</v>
      </c>
      <c r="B67" s="10" t="s">
        <v>412</v>
      </c>
      <c r="C67" s="56" t="s">
        <v>19</v>
      </c>
      <c r="D67" s="22">
        <f>SUM(D69:D76)</f>
        <v>316452.255</v>
      </c>
      <c r="E67" s="22">
        <f>SUM(E69:E76)</f>
        <v>316452.255</v>
      </c>
      <c r="F67" s="22" t="s">
        <v>1</v>
      </c>
      <c r="G67" s="22">
        <f>SUM(G69:G76)</f>
        <v>105863.03476190477</v>
      </c>
      <c r="H67" s="22">
        <f>SUM(H69:H76)</f>
        <v>199551.87426587299</v>
      </c>
      <c r="I67" s="22">
        <f>SUM(I69:I76)</f>
        <v>283611.10108730156</v>
      </c>
      <c r="J67" s="22">
        <f>SUM(J69:J76)</f>
        <v>316452.255</v>
      </c>
      <c r="K67" s="35"/>
      <c r="L67" s="20"/>
      <c r="M67" s="165"/>
    </row>
    <row r="68" spans="1:13">
      <c r="A68" s="53"/>
      <c r="B68" s="12" t="s">
        <v>156</v>
      </c>
      <c r="C68" s="56"/>
      <c r="D68" s="22"/>
      <c r="E68" s="22"/>
      <c r="F68" s="22"/>
      <c r="G68" s="22"/>
      <c r="H68" s="22"/>
      <c r="I68" s="22"/>
      <c r="J68" s="22"/>
      <c r="K68" s="35"/>
      <c r="L68" s="20"/>
      <c r="M68" s="165"/>
    </row>
    <row r="69" spans="1:13">
      <c r="A69" s="53">
        <v>4261</v>
      </c>
      <c r="B69" s="10" t="s">
        <v>413</v>
      </c>
      <c r="C69" s="56" t="s">
        <v>44</v>
      </c>
      <c r="D69" s="22">
        <f>+'4.Gorcarakan ev tntesagitakan'!H38+'4.Gorcarakan ev tntesagitakan'!H86+'4.Gorcarakan ev tntesagitakan'!H158+'4.Gorcarakan ev tntesagitakan'!H367+'4.Gorcarakan ev tntesagitakan'!H751+'4.Gorcarakan ev tntesagitakan'!H768</f>
        <v>10160</v>
      </c>
      <c r="E69" s="22">
        <f>+'4.Gorcarakan ev tntesagitakan'!I38+'4.Gorcarakan ev tntesagitakan'!I86+'4.Gorcarakan ev tntesagitakan'!I158+'4.Gorcarakan ev tntesagitakan'!I367+'4.Gorcarakan ev tntesagitakan'!I751+'4.Gorcarakan ev tntesagitakan'!I768</f>
        <v>10160</v>
      </c>
      <c r="F69" s="22" t="s">
        <v>1</v>
      </c>
      <c r="G69" s="22">
        <f>+'4.Gorcarakan ev tntesagitakan'!K38+'4.Gorcarakan ev tntesagitakan'!K86+'4.Gorcarakan ev tntesagitakan'!K158+'4.Gorcarakan ev tntesagitakan'!K367+'4.Gorcarakan ev tntesagitakan'!K751+'4.Gorcarakan ev tntesagitakan'!K768</f>
        <v>2419.0476190476193</v>
      </c>
      <c r="H69" s="22">
        <f>+'4.Gorcarakan ev tntesagitakan'!L38+'4.Gorcarakan ev tntesagitakan'!L86+'4.Gorcarakan ev tntesagitakan'!L158+'4.Gorcarakan ev tntesagitakan'!L367+'4.Gorcarakan ev tntesagitakan'!L751+'4.Gorcarakan ev tntesagitakan'!L768</f>
        <v>6957.7777777777783</v>
      </c>
      <c r="I69" s="22">
        <f>+'4.Gorcarakan ev tntesagitakan'!M38+'4.Gorcarakan ev tntesagitakan'!M86+'4.Gorcarakan ev tntesagitakan'!M158+'4.Gorcarakan ev tntesagitakan'!M367+'4.Gorcarakan ev tntesagitakan'!M751+'4.Gorcarakan ev tntesagitakan'!M768</f>
        <v>8571.1111111111113</v>
      </c>
      <c r="J69" s="22">
        <f>+'4.Gorcarakan ev tntesagitakan'!N38+'4.Gorcarakan ev tntesagitakan'!N86+'4.Gorcarakan ev tntesagitakan'!N158+'4.Gorcarakan ev tntesagitakan'!N367+'4.Gorcarakan ev tntesagitakan'!N751+'4.Gorcarakan ev tntesagitakan'!N768</f>
        <v>10160</v>
      </c>
      <c r="K69" s="35"/>
      <c r="L69" s="20"/>
      <c r="M69" s="165"/>
    </row>
    <row r="70" spans="1:13">
      <c r="A70" s="53">
        <v>4262</v>
      </c>
      <c r="B70" s="10" t="s">
        <v>414</v>
      </c>
      <c r="C70" s="56" t="s">
        <v>45</v>
      </c>
      <c r="D70" s="22">
        <f>+'4.Gorcarakan ev tntesagitakan'!H402</f>
        <v>3500</v>
      </c>
      <c r="E70" s="22">
        <f>+'4.Gorcarakan ev tntesagitakan'!I402</f>
        <v>3500</v>
      </c>
      <c r="F70" s="22" t="s">
        <v>1</v>
      </c>
      <c r="G70" s="22">
        <f>+'4.Gorcarakan ev tntesagitakan'!K402</f>
        <v>833.33333333333337</v>
      </c>
      <c r="H70" s="22">
        <f>+'4.Gorcarakan ev tntesagitakan'!L402</f>
        <v>1680.5555555555557</v>
      </c>
      <c r="I70" s="22">
        <f>+'4.Gorcarakan ev tntesagitakan'!M402</f>
        <v>2597.2222222222222</v>
      </c>
      <c r="J70" s="22">
        <f>+'4.Gorcarakan ev tntesagitakan'!N402</f>
        <v>3500</v>
      </c>
      <c r="K70" s="35"/>
      <c r="L70" s="20"/>
      <c r="M70" s="165"/>
    </row>
    <row r="71" spans="1:13" ht="27">
      <c r="A71" s="53">
        <v>4263</v>
      </c>
      <c r="B71" s="10" t="s">
        <v>415</v>
      </c>
      <c r="C71" s="56" t="s">
        <v>46</v>
      </c>
      <c r="D71" s="22"/>
      <c r="E71" s="22"/>
      <c r="F71" s="22" t="s">
        <v>1</v>
      </c>
      <c r="G71" s="22"/>
      <c r="H71" s="22"/>
      <c r="I71" s="22"/>
      <c r="J71" s="22"/>
      <c r="K71" s="35"/>
      <c r="L71" s="20"/>
      <c r="M71" s="165"/>
    </row>
    <row r="72" spans="1:13">
      <c r="A72" s="53">
        <v>4264</v>
      </c>
      <c r="B72" s="10" t="s">
        <v>416</v>
      </c>
      <c r="C72" s="56" t="s">
        <v>47</v>
      </c>
      <c r="D72" s="22">
        <f>+'4.Gorcarakan ev tntesagitakan'!H39+'4.Gorcarakan ev tntesagitakan'!H159+'4.Gorcarakan ev tntesagitakan'!H368+'4.Gorcarakan ev tntesagitakan'!H403+'4.Gorcarakan ev tntesagitakan'!H457+'4.Gorcarakan ev tntesagitakan'!H770</f>
        <v>187625.666</v>
      </c>
      <c r="E72" s="22">
        <f>+'4.Gorcarakan ev tntesagitakan'!I39+'4.Gorcarakan ev tntesagitakan'!I159+'4.Gorcarakan ev tntesagitakan'!I368+'4.Gorcarakan ev tntesagitakan'!I403+'4.Gorcarakan ev tntesagitakan'!I457+'4.Gorcarakan ev tntesagitakan'!I770</f>
        <v>187625.666</v>
      </c>
      <c r="F72" s="22" t="s">
        <v>1</v>
      </c>
      <c r="G72" s="22">
        <f>+'4.Gorcarakan ev tntesagitakan'!K39+'4.Gorcarakan ev tntesagitakan'!K159+'4.Gorcarakan ev tntesagitakan'!K368+'4.Gorcarakan ev tntesagitakan'!K403+'4.Gorcarakan ev tntesagitakan'!K457+'4.Gorcarakan ev tntesagitakan'!K770</f>
        <v>59336.329333333328</v>
      </c>
      <c r="H72" s="22">
        <f>+'4.Gorcarakan ev tntesagitakan'!L39+'4.Gorcarakan ev tntesagitakan'!L159+'4.Gorcarakan ev tntesagitakan'!L368+'4.Gorcarakan ev tntesagitakan'!L403+'4.Gorcarakan ev tntesagitakan'!L457+'4.Gorcarakan ev tntesagitakan'!L770</f>
        <v>110563.17705555556</v>
      </c>
      <c r="I72" s="22">
        <f>+'4.Gorcarakan ev tntesagitakan'!M39+'4.Gorcarakan ev tntesagitakan'!M159+'4.Gorcarakan ev tntesagitakan'!M368+'4.Gorcarakan ev tntesagitakan'!M403+'4.Gorcarakan ev tntesagitakan'!M457+'4.Gorcarakan ev tntesagitakan'!M770</f>
        <v>161988.9467222222</v>
      </c>
      <c r="J72" s="22">
        <f>+'4.Gorcarakan ev tntesagitakan'!N39+'4.Gorcarakan ev tntesagitakan'!N159+'4.Gorcarakan ev tntesagitakan'!N368+'4.Gorcarakan ev tntesagitakan'!N403+'4.Gorcarakan ev tntesagitakan'!N457+'4.Gorcarakan ev tntesagitakan'!N770</f>
        <v>187625.666</v>
      </c>
      <c r="K72" s="35"/>
      <c r="L72" s="20"/>
      <c r="M72" s="165"/>
    </row>
    <row r="73" spans="1:13" ht="27">
      <c r="A73" s="53">
        <v>4265</v>
      </c>
      <c r="B73" s="10" t="s">
        <v>417</v>
      </c>
      <c r="C73" s="56" t="s">
        <v>48</v>
      </c>
      <c r="D73" s="22"/>
      <c r="E73" s="22"/>
      <c r="F73" s="22" t="s">
        <v>1</v>
      </c>
      <c r="G73" s="22"/>
      <c r="H73" s="22"/>
      <c r="I73" s="22"/>
      <c r="J73" s="22"/>
      <c r="K73" s="35"/>
      <c r="L73" s="20"/>
      <c r="M73" s="165"/>
    </row>
    <row r="74" spans="1:13">
      <c r="A74" s="53">
        <v>4266</v>
      </c>
      <c r="B74" s="10" t="s">
        <v>418</v>
      </c>
      <c r="C74" s="56" t="s">
        <v>49</v>
      </c>
      <c r="D74" s="22"/>
      <c r="E74" s="22"/>
      <c r="F74" s="22" t="s">
        <v>1</v>
      </c>
      <c r="G74" s="22"/>
      <c r="H74" s="22"/>
      <c r="I74" s="22"/>
      <c r="J74" s="22"/>
      <c r="K74" s="35"/>
      <c r="L74" s="20"/>
      <c r="M74" s="165"/>
    </row>
    <row r="75" spans="1:13">
      <c r="A75" s="53">
        <v>4267</v>
      </c>
      <c r="B75" s="10" t="s">
        <v>419</v>
      </c>
      <c r="C75" s="56" t="s">
        <v>50</v>
      </c>
      <c r="D75" s="22"/>
      <c r="E75" s="22"/>
      <c r="F75" s="22" t="s">
        <v>1</v>
      </c>
      <c r="G75" s="22"/>
      <c r="H75" s="22"/>
      <c r="I75" s="22"/>
      <c r="J75" s="22"/>
      <c r="K75" s="35"/>
      <c r="L75" s="20"/>
      <c r="M75" s="165"/>
    </row>
    <row r="76" spans="1:13">
      <c r="A76" s="53">
        <v>4268</v>
      </c>
      <c r="B76" s="10" t="s">
        <v>420</v>
      </c>
      <c r="C76" s="56" t="s">
        <v>51</v>
      </c>
      <c r="D76" s="22">
        <f>+'4.Gorcarakan ev tntesagitakan'!H40+'4.Gorcarakan ev tntesagitakan'!H87+'4.Gorcarakan ev tntesagitakan'!H285+'4.Gorcarakan ev tntesagitakan'!H369+'4.Gorcarakan ev tntesagitakan'!H404+'4.Gorcarakan ev tntesagitakan'!H437+'4.Gorcarakan ev tntesagitakan'!H458+'4.Gorcarakan ev tntesagitakan'!H593</f>
        <v>115166.58900000001</v>
      </c>
      <c r="E76" s="22">
        <f>+'4.Gorcarakan ev tntesagitakan'!I40+'4.Gorcarakan ev tntesagitakan'!I87+'4.Gorcarakan ev tntesagitakan'!I285+'4.Gorcarakan ev tntesagitakan'!I369+'4.Gorcarakan ev tntesagitakan'!I404+'4.Gorcarakan ev tntesagitakan'!I437+'4.Gorcarakan ev tntesagitakan'!I458+'4.Gorcarakan ev tntesagitakan'!I593</f>
        <v>115166.58900000001</v>
      </c>
      <c r="F76" s="22" t="s">
        <v>1</v>
      </c>
      <c r="G76" s="22">
        <f>+'4.Gorcarakan ev tntesagitakan'!K40+'4.Gorcarakan ev tntesagitakan'!K87+'4.Gorcarakan ev tntesagitakan'!K285+'4.Gorcarakan ev tntesagitakan'!K369+'4.Gorcarakan ev tntesagitakan'!K404+'4.Gorcarakan ev tntesagitakan'!K437+'4.Gorcarakan ev tntesagitakan'!K458+'4.Gorcarakan ev tntesagitakan'!K593</f>
        <v>43274.324476190486</v>
      </c>
      <c r="H76" s="22">
        <f>+'4.Gorcarakan ev tntesagitakan'!L40+'4.Gorcarakan ev tntesagitakan'!L87+'4.Gorcarakan ev tntesagitakan'!L285+'4.Gorcarakan ev tntesagitakan'!L369+'4.Gorcarakan ev tntesagitakan'!L404+'4.Gorcarakan ev tntesagitakan'!L437+'4.Gorcarakan ev tntesagitakan'!L458+'4.Gorcarakan ev tntesagitakan'!L593</f>
        <v>80350.363876984105</v>
      </c>
      <c r="I76" s="22">
        <f>+'4.Gorcarakan ev tntesagitakan'!M40+'4.Gorcarakan ev tntesagitakan'!M87+'4.Gorcarakan ev tntesagitakan'!M285+'4.Gorcarakan ev tntesagitakan'!M369+'4.Gorcarakan ev tntesagitakan'!M404+'4.Gorcarakan ev tntesagitakan'!M437+'4.Gorcarakan ev tntesagitakan'!M458+'4.Gorcarakan ev tntesagitakan'!M593</f>
        <v>110453.82103174603</v>
      </c>
      <c r="J76" s="22">
        <f>+'4.Gorcarakan ev tntesagitakan'!N40+'4.Gorcarakan ev tntesagitakan'!N87+'4.Gorcarakan ev tntesagitakan'!N285+'4.Gorcarakan ev tntesagitakan'!N369+'4.Gorcarakan ev tntesagitakan'!N404+'4.Gorcarakan ev tntesagitakan'!N437+'4.Gorcarakan ev tntesagitakan'!N458+'4.Gorcarakan ev tntesagitakan'!N593</f>
        <v>115166.58900000001</v>
      </c>
      <c r="K76" s="35"/>
      <c r="L76" s="20"/>
      <c r="M76" s="165"/>
    </row>
    <row r="77" spans="1:13">
      <c r="A77" s="53">
        <v>4300</v>
      </c>
      <c r="B77" s="10" t="s">
        <v>421</v>
      </c>
      <c r="C77" s="56" t="s">
        <v>19</v>
      </c>
      <c r="D77" s="22">
        <f>SUM(D79,D83,D87)</f>
        <v>91000</v>
      </c>
      <c r="E77" s="22">
        <f>SUM(E79,E83,E87)</f>
        <v>91000</v>
      </c>
      <c r="F77" s="22" t="s">
        <v>0</v>
      </c>
      <c r="G77" s="22">
        <f>SUM(G79,G83,G87)</f>
        <v>38095.199999999997</v>
      </c>
      <c r="H77" s="22">
        <f>SUM(H79,H83,H87)</f>
        <v>76825.399999999994</v>
      </c>
      <c r="I77" s="22">
        <f>SUM(I79,I83,I87)</f>
        <v>91000</v>
      </c>
      <c r="J77" s="22">
        <f>SUM(J79,J83,J87)</f>
        <v>91000</v>
      </c>
      <c r="K77" s="35"/>
      <c r="L77" s="20"/>
      <c r="M77" s="165"/>
    </row>
    <row r="78" spans="1:13">
      <c r="A78" s="53"/>
      <c r="B78" s="12" t="s">
        <v>375</v>
      </c>
      <c r="C78" s="54"/>
      <c r="D78" s="22"/>
      <c r="E78" s="22"/>
      <c r="F78" s="22"/>
      <c r="G78" s="22"/>
      <c r="H78" s="22"/>
      <c r="I78" s="22"/>
      <c r="J78" s="22"/>
      <c r="K78" s="35"/>
      <c r="L78" s="20"/>
      <c r="M78" s="165"/>
    </row>
    <row r="79" spans="1:13">
      <c r="A79" s="53">
        <v>4310</v>
      </c>
      <c r="B79" s="10" t="s">
        <v>422</v>
      </c>
      <c r="C79" s="56" t="s">
        <v>19</v>
      </c>
      <c r="D79" s="22">
        <f>SUM(D81:D82)</f>
        <v>91000</v>
      </c>
      <c r="E79" s="22">
        <f>SUM(E81:E82)</f>
        <v>91000</v>
      </c>
      <c r="F79" s="22" t="s">
        <v>0</v>
      </c>
      <c r="G79" s="22">
        <f>SUM(G81:G82)</f>
        <v>38095.199999999997</v>
      </c>
      <c r="H79" s="22">
        <f>SUM(H81:H82)</f>
        <v>76825.399999999994</v>
      </c>
      <c r="I79" s="22">
        <f>SUM(I81:I82)</f>
        <v>91000</v>
      </c>
      <c r="J79" s="22">
        <f>SUM(J81:J82)</f>
        <v>91000</v>
      </c>
      <c r="K79" s="35"/>
      <c r="L79" s="20"/>
      <c r="M79" s="165"/>
    </row>
    <row r="80" spans="1:13">
      <c r="A80" s="53"/>
      <c r="B80" s="12" t="s">
        <v>156</v>
      </c>
      <c r="C80" s="56"/>
      <c r="D80" s="22"/>
      <c r="E80" s="22"/>
      <c r="F80" s="22"/>
      <c r="G80" s="22"/>
      <c r="H80" s="22"/>
      <c r="I80" s="22"/>
      <c r="J80" s="22"/>
      <c r="K80" s="35"/>
      <c r="L80" s="20"/>
      <c r="M80" s="165"/>
    </row>
    <row r="81" spans="1:13">
      <c r="A81" s="53">
        <v>4311</v>
      </c>
      <c r="B81" s="10" t="s">
        <v>423</v>
      </c>
      <c r="C81" s="56" t="s">
        <v>52</v>
      </c>
      <c r="D81" s="22"/>
      <c r="E81" s="22"/>
      <c r="F81" s="22" t="s">
        <v>1</v>
      </c>
      <c r="G81" s="22"/>
      <c r="H81" s="22"/>
      <c r="I81" s="22"/>
      <c r="J81" s="22"/>
      <c r="K81" s="35"/>
      <c r="L81" s="20"/>
      <c r="M81" s="165"/>
    </row>
    <row r="82" spans="1:13">
      <c r="A82" s="53">
        <v>4312</v>
      </c>
      <c r="B82" s="10" t="s">
        <v>424</v>
      </c>
      <c r="C82" s="56" t="s">
        <v>53</v>
      </c>
      <c r="D82" s="22">
        <f>+'4.Gorcarakan ev tntesagitakan'!H109</f>
        <v>91000</v>
      </c>
      <c r="E82" s="22">
        <f>+'4.Gorcarakan ev tntesagitakan'!I109</f>
        <v>91000</v>
      </c>
      <c r="F82" s="22" t="s">
        <v>1</v>
      </c>
      <c r="G82" s="22">
        <f>+'4.Gorcarakan ev tntesagitakan'!K109</f>
        <v>38095.199999999997</v>
      </c>
      <c r="H82" s="22">
        <f>+'4.Gorcarakan ev tntesagitakan'!L109</f>
        <v>76825.399999999994</v>
      </c>
      <c r="I82" s="22">
        <f>+'4.Gorcarakan ev tntesagitakan'!M109</f>
        <v>91000</v>
      </c>
      <c r="J82" s="22">
        <f>+'4.Gorcarakan ev tntesagitakan'!N109</f>
        <v>91000</v>
      </c>
      <c r="K82" s="35"/>
      <c r="L82" s="20"/>
      <c r="M82" s="165"/>
    </row>
    <row r="83" spans="1:13">
      <c r="A83" s="53">
        <v>4320</v>
      </c>
      <c r="B83" s="10" t="s">
        <v>425</v>
      </c>
      <c r="C83" s="56" t="s">
        <v>19</v>
      </c>
      <c r="D83" s="22">
        <f>SUM(D85:D86)</f>
        <v>0</v>
      </c>
      <c r="E83" s="22">
        <f>SUM(E85:E86)</f>
        <v>0</v>
      </c>
      <c r="F83" s="22" t="s">
        <v>0</v>
      </c>
      <c r="G83" s="22">
        <f>SUM(G85:G86)</f>
        <v>0</v>
      </c>
      <c r="H83" s="22">
        <f>SUM(H85:H86)</f>
        <v>0</v>
      </c>
      <c r="I83" s="22">
        <f>SUM(I85:I86)</f>
        <v>0</v>
      </c>
      <c r="J83" s="22">
        <f>SUM(J85:J86)</f>
        <v>0</v>
      </c>
      <c r="K83" s="35"/>
      <c r="L83" s="20"/>
      <c r="M83" s="165"/>
    </row>
    <row r="84" spans="1:13">
      <c r="A84" s="53"/>
      <c r="B84" s="12" t="s">
        <v>156</v>
      </c>
      <c r="C84" s="56"/>
      <c r="D84" s="22"/>
      <c r="E84" s="22"/>
      <c r="F84" s="22"/>
      <c r="G84" s="22"/>
      <c r="H84" s="22"/>
      <c r="I84" s="22"/>
      <c r="J84" s="22"/>
      <c r="K84" s="35"/>
      <c r="L84" s="20"/>
      <c r="M84" s="165"/>
    </row>
    <row r="85" spans="1:13">
      <c r="A85" s="53">
        <v>4321</v>
      </c>
      <c r="B85" s="10" t="s">
        <v>426</v>
      </c>
      <c r="C85" s="56" t="s">
        <v>54</v>
      </c>
      <c r="D85" s="22"/>
      <c r="E85" s="22"/>
      <c r="F85" s="22" t="s">
        <v>1</v>
      </c>
      <c r="G85" s="22"/>
      <c r="H85" s="22"/>
      <c r="I85" s="22"/>
      <c r="J85" s="22"/>
      <c r="K85" s="35"/>
      <c r="L85" s="20"/>
      <c r="M85" s="165"/>
    </row>
    <row r="86" spans="1:13">
      <c r="A86" s="53">
        <v>4322</v>
      </c>
      <c r="B86" s="10" t="s">
        <v>427</v>
      </c>
      <c r="C86" s="56" t="s">
        <v>55</v>
      </c>
      <c r="D86" s="22"/>
      <c r="E86" s="22"/>
      <c r="F86" s="22" t="s">
        <v>1</v>
      </c>
      <c r="G86" s="22"/>
      <c r="H86" s="22"/>
      <c r="I86" s="22"/>
      <c r="J86" s="22"/>
      <c r="K86" s="35"/>
      <c r="L86" s="20"/>
      <c r="M86" s="165"/>
    </row>
    <row r="87" spans="1:13" ht="27">
      <c r="A87" s="53">
        <v>4330</v>
      </c>
      <c r="B87" s="10" t="s">
        <v>428</v>
      </c>
      <c r="C87" s="56" t="s">
        <v>19</v>
      </c>
      <c r="D87" s="22">
        <f>SUM(D89:D91)</f>
        <v>0</v>
      </c>
      <c r="E87" s="22">
        <f>SUM(E89:E91)</f>
        <v>0</v>
      </c>
      <c r="F87" s="22" t="s">
        <v>1</v>
      </c>
      <c r="G87" s="22">
        <f>SUM(G89:G91)</f>
        <v>0</v>
      </c>
      <c r="H87" s="22">
        <f>SUM(H89:H91)</f>
        <v>0</v>
      </c>
      <c r="I87" s="22">
        <f>SUM(I89:I91)</f>
        <v>0</v>
      </c>
      <c r="J87" s="22">
        <f>SUM(J89:J91)</f>
        <v>0</v>
      </c>
      <c r="K87" s="35"/>
      <c r="L87" s="20"/>
      <c r="M87" s="165"/>
    </row>
    <row r="88" spans="1:13">
      <c r="A88" s="53"/>
      <c r="B88" s="12" t="s">
        <v>156</v>
      </c>
      <c r="C88" s="56"/>
      <c r="D88" s="22"/>
      <c r="E88" s="22"/>
      <c r="F88" s="22"/>
      <c r="G88" s="22"/>
      <c r="H88" s="22"/>
      <c r="I88" s="22"/>
      <c r="J88" s="22"/>
      <c r="K88" s="35"/>
      <c r="L88" s="20"/>
      <c r="M88" s="165"/>
    </row>
    <row r="89" spans="1:13">
      <c r="A89" s="53">
        <v>4331</v>
      </c>
      <c r="B89" s="10" t="s">
        <v>429</v>
      </c>
      <c r="C89" s="56" t="s">
        <v>56</v>
      </c>
      <c r="D89" s="22"/>
      <c r="E89" s="22"/>
      <c r="F89" s="22" t="s">
        <v>1</v>
      </c>
      <c r="G89" s="22"/>
      <c r="H89" s="22"/>
      <c r="I89" s="22"/>
      <c r="J89" s="22"/>
      <c r="K89" s="35"/>
      <c r="L89" s="20"/>
      <c r="M89" s="165"/>
    </row>
    <row r="90" spans="1:13">
      <c r="A90" s="53">
        <v>4332</v>
      </c>
      <c r="B90" s="10" t="s">
        <v>430</v>
      </c>
      <c r="C90" s="56" t="s">
        <v>57</v>
      </c>
      <c r="D90" s="22"/>
      <c r="E90" s="22"/>
      <c r="F90" s="22" t="s">
        <v>1</v>
      </c>
      <c r="G90" s="22"/>
      <c r="H90" s="22"/>
      <c r="I90" s="22"/>
      <c r="J90" s="22"/>
      <c r="K90" s="35"/>
      <c r="L90" s="20"/>
      <c r="M90" s="165"/>
    </row>
    <row r="91" spans="1:13">
      <c r="A91" s="53">
        <v>4333</v>
      </c>
      <c r="B91" s="10" t="s">
        <v>431</v>
      </c>
      <c r="C91" s="56" t="s">
        <v>58</v>
      </c>
      <c r="D91" s="22"/>
      <c r="E91" s="22"/>
      <c r="F91" s="22" t="s">
        <v>1</v>
      </c>
      <c r="G91" s="22"/>
      <c r="H91" s="22"/>
      <c r="I91" s="22"/>
      <c r="J91" s="22"/>
      <c r="K91" s="35"/>
      <c r="L91" s="20"/>
      <c r="M91" s="165"/>
    </row>
    <row r="92" spans="1:13">
      <c r="A92" s="53">
        <v>4400</v>
      </c>
      <c r="B92" s="10" t="s">
        <v>432</v>
      </c>
      <c r="C92" s="56" t="s">
        <v>19</v>
      </c>
      <c r="D92" s="22">
        <f>SUM(D94,D98)</f>
        <v>2277132.9239999987</v>
      </c>
      <c r="E92" s="22">
        <f>SUM(E94,E98)</f>
        <v>2277132.9239999987</v>
      </c>
      <c r="F92" s="22" t="s">
        <v>0</v>
      </c>
      <c r="G92" s="22">
        <f>SUM(G94,G98)</f>
        <v>539607.17809523805</v>
      </c>
      <c r="H92" s="22">
        <f>SUM(H94,H98)</f>
        <v>1088207.8091587289</v>
      </c>
      <c r="I92" s="22">
        <f>SUM(I94,I98)</f>
        <v>1711775.7412206328</v>
      </c>
      <c r="J92" s="22">
        <f>SUM(J94,J98)</f>
        <v>2277132.9239999987</v>
      </c>
      <c r="K92" s="35"/>
      <c r="L92" s="20"/>
      <c r="M92" s="165"/>
    </row>
    <row r="93" spans="1:13">
      <c r="A93" s="53"/>
      <c r="B93" s="12" t="s">
        <v>375</v>
      </c>
      <c r="C93" s="54"/>
      <c r="D93" s="22"/>
      <c r="E93" s="22"/>
      <c r="F93" s="22"/>
      <c r="G93" s="22"/>
      <c r="H93" s="22"/>
      <c r="I93" s="22"/>
      <c r="J93" s="22"/>
      <c r="K93" s="35"/>
      <c r="L93" s="20"/>
      <c r="M93" s="165"/>
    </row>
    <row r="94" spans="1:13" ht="27">
      <c r="A94" s="53">
        <v>4410</v>
      </c>
      <c r="B94" s="10" t="s">
        <v>433</v>
      </c>
      <c r="C94" s="56" t="s">
        <v>19</v>
      </c>
      <c r="D94" s="22">
        <f>SUM(D96:D97)</f>
        <v>2276632.9239999987</v>
      </c>
      <c r="E94" s="22">
        <f>SUM(E96:E97)</f>
        <v>2276632.9239999987</v>
      </c>
      <c r="F94" s="22" t="s">
        <v>0</v>
      </c>
      <c r="G94" s="22">
        <f>SUM(G96:G97)</f>
        <v>539607.17809523805</v>
      </c>
      <c r="H94" s="22">
        <f>SUM(H96:H97)</f>
        <v>1088207.8091587289</v>
      </c>
      <c r="I94" s="22">
        <f>SUM(I96:I97)</f>
        <v>1711775.7412206328</v>
      </c>
      <c r="J94" s="22">
        <f>SUM(J96:J97)</f>
        <v>2276632.9239999987</v>
      </c>
      <c r="K94" s="35"/>
      <c r="L94" s="20"/>
      <c r="M94" s="165"/>
    </row>
    <row r="95" spans="1:13">
      <c r="A95" s="53"/>
      <c r="B95" s="12" t="s">
        <v>156</v>
      </c>
      <c r="C95" s="56"/>
      <c r="D95" s="22"/>
      <c r="E95" s="22"/>
      <c r="F95" s="22"/>
      <c r="G95" s="22"/>
      <c r="H95" s="22"/>
      <c r="I95" s="22"/>
      <c r="J95" s="22"/>
      <c r="K95" s="35"/>
      <c r="L95" s="20"/>
      <c r="M95" s="165"/>
    </row>
    <row r="96" spans="1:13" ht="27">
      <c r="A96" s="53">
        <v>4411</v>
      </c>
      <c r="B96" s="10" t="s">
        <v>434</v>
      </c>
      <c r="C96" s="56" t="s">
        <v>59</v>
      </c>
      <c r="D96" s="22">
        <f>+'4.Gorcarakan ev tntesagitakan'!H460+'4.Gorcarakan ev tntesagitakan'!H549+'4.Gorcarakan ev tntesagitakan'!H560+'4.Gorcarakan ev tntesagitakan'!H567+'4.Gorcarakan ev tntesagitakan'!H573+'4.Gorcarakan ev tntesagitakan'!H644</f>
        <v>2276632.9239999987</v>
      </c>
      <c r="E96" s="22">
        <f>+'4.Gorcarakan ev tntesagitakan'!I460+'4.Gorcarakan ev tntesagitakan'!I549+'4.Gorcarakan ev tntesagitakan'!I560+'4.Gorcarakan ev tntesagitakan'!I567+'4.Gorcarakan ev tntesagitakan'!I573+'4.Gorcarakan ev tntesagitakan'!I644</f>
        <v>2276632.9239999987</v>
      </c>
      <c r="F96" s="22" t="s">
        <v>0</v>
      </c>
      <c r="G96" s="22">
        <f>+'4.Gorcarakan ev tntesagitakan'!K460+'4.Gorcarakan ev tntesagitakan'!K549+'4.Gorcarakan ev tntesagitakan'!K560+'4.Gorcarakan ev tntesagitakan'!K567+'4.Gorcarakan ev tntesagitakan'!K573+'4.Gorcarakan ev tntesagitakan'!K644</f>
        <v>539607.17809523805</v>
      </c>
      <c r="H96" s="22">
        <f>+'4.Gorcarakan ev tntesagitakan'!L460+'4.Gorcarakan ev tntesagitakan'!L549+'4.Gorcarakan ev tntesagitakan'!L560+'4.Gorcarakan ev tntesagitakan'!L567+'4.Gorcarakan ev tntesagitakan'!L573+'4.Gorcarakan ev tntesagitakan'!L644</f>
        <v>1088207.8091587289</v>
      </c>
      <c r="I96" s="22">
        <f>+'4.Gorcarakan ev tntesagitakan'!M460+'4.Gorcarakan ev tntesagitakan'!M549+'4.Gorcarakan ev tntesagitakan'!M560+'4.Gorcarakan ev tntesagitakan'!M567+'4.Gorcarakan ev tntesagitakan'!M573+'4.Gorcarakan ev tntesagitakan'!M644</f>
        <v>1711775.7412206328</v>
      </c>
      <c r="J96" s="22">
        <f>+'4.Gorcarakan ev tntesagitakan'!N460+'4.Gorcarakan ev tntesagitakan'!N549+'4.Gorcarakan ev tntesagitakan'!N560+'4.Gorcarakan ev tntesagitakan'!N567+'4.Gorcarakan ev tntesagitakan'!N573+'4.Gorcarakan ev tntesagitakan'!N644</f>
        <v>2276632.9239999987</v>
      </c>
      <c r="K96" s="35"/>
      <c r="L96" s="20"/>
      <c r="M96" s="165"/>
    </row>
    <row r="97" spans="1:13" ht="27">
      <c r="A97" s="53">
        <v>4412</v>
      </c>
      <c r="B97" s="10" t="s">
        <v>435</v>
      </c>
      <c r="C97" s="56" t="s">
        <v>60</v>
      </c>
      <c r="D97" s="22"/>
      <c r="E97" s="22"/>
      <c r="F97" s="22" t="s">
        <v>1</v>
      </c>
      <c r="G97" s="22">
        <f>SUM(H97:I97)</f>
        <v>0</v>
      </c>
      <c r="H97" s="22">
        <f>SUM(I97:J97)</f>
        <v>0</v>
      </c>
      <c r="I97" s="22">
        <f>SUM(J97:L97)</f>
        <v>0</v>
      </c>
      <c r="J97" s="22">
        <f>SUM(L97:L97)</f>
        <v>0</v>
      </c>
      <c r="K97" s="35"/>
      <c r="L97" s="20"/>
      <c r="M97" s="165"/>
    </row>
    <row r="98" spans="1:13" ht="27">
      <c r="A98" s="53">
        <v>4420</v>
      </c>
      <c r="B98" s="10" t="s">
        <v>436</v>
      </c>
      <c r="C98" s="56" t="s">
        <v>19</v>
      </c>
      <c r="D98" s="22">
        <f>SUM(D100:D101)</f>
        <v>500</v>
      </c>
      <c r="E98" s="22">
        <f>SUM(E100:E101)</f>
        <v>500</v>
      </c>
      <c r="F98" s="22" t="s">
        <v>0</v>
      </c>
      <c r="G98" s="22">
        <f>SUM(G100:G101)</f>
        <v>0</v>
      </c>
      <c r="H98" s="22">
        <f>SUM(H100:H101)</f>
        <v>0</v>
      </c>
      <c r="I98" s="22">
        <f>SUM(I100:I101)</f>
        <v>0</v>
      </c>
      <c r="J98" s="22">
        <f>SUM(J100:J101)</f>
        <v>500</v>
      </c>
      <c r="K98" s="35"/>
      <c r="L98" s="20"/>
      <c r="M98" s="165"/>
    </row>
    <row r="99" spans="1:13">
      <c r="A99" s="53"/>
      <c r="B99" s="12" t="s">
        <v>156</v>
      </c>
      <c r="C99" s="56"/>
      <c r="D99" s="22"/>
      <c r="E99" s="22"/>
      <c r="F99" s="22"/>
      <c r="G99" s="22"/>
      <c r="H99" s="22"/>
      <c r="I99" s="22"/>
      <c r="J99" s="22"/>
      <c r="K99" s="35"/>
      <c r="L99" s="20"/>
      <c r="M99" s="165"/>
    </row>
    <row r="100" spans="1:13" ht="27">
      <c r="A100" s="53">
        <v>4421</v>
      </c>
      <c r="B100" s="10" t="s">
        <v>437</v>
      </c>
      <c r="C100" s="56" t="s">
        <v>61</v>
      </c>
      <c r="D100" s="22">
        <f>+'4.Gorcarakan ev tntesagitakan'!H161+'4.Gorcarakan ev tntesagitakan'!H459</f>
        <v>500</v>
      </c>
      <c r="E100" s="22">
        <f>+'4.Gorcarakan ev tntesagitakan'!I161+'4.Gorcarakan ev tntesagitakan'!I459</f>
        <v>500</v>
      </c>
      <c r="F100" s="22" t="s">
        <v>1</v>
      </c>
      <c r="G100" s="22">
        <f>+'4.Gorcarakan ev tntesagitakan'!K161+'4.Gorcarakan ev tntesagitakan'!K459</f>
        <v>0</v>
      </c>
      <c r="H100" s="22">
        <f>+'4.Gorcarakan ev tntesagitakan'!L161+'4.Gorcarakan ev tntesagitakan'!L459</f>
        <v>0</v>
      </c>
      <c r="I100" s="22">
        <f>+'4.Gorcarakan ev tntesagitakan'!M161+'4.Gorcarakan ev tntesagitakan'!M459</f>
        <v>0</v>
      </c>
      <c r="J100" s="22">
        <f>+'4.Gorcarakan ev tntesagitakan'!N161+'4.Gorcarakan ev tntesagitakan'!N459</f>
        <v>500</v>
      </c>
      <c r="K100" s="35"/>
      <c r="L100" s="20"/>
      <c r="M100" s="165"/>
    </row>
    <row r="101" spans="1:13" ht="27">
      <c r="A101" s="53">
        <v>4422</v>
      </c>
      <c r="B101" s="10" t="s">
        <v>438</v>
      </c>
      <c r="C101" s="56" t="s">
        <v>62</v>
      </c>
      <c r="D101" s="22"/>
      <c r="E101" s="22"/>
      <c r="F101" s="22" t="s">
        <v>1</v>
      </c>
      <c r="G101" s="22"/>
      <c r="H101" s="22"/>
      <c r="I101" s="22"/>
      <c r="J101" s="22"/>
      <c r="K101" s="35"/>
      <c r="L101" s="20"/>
      <c r="M101" s="165"/>
    </row>
    <row r="102" spans="1:13" ht="27">
      <c r="A102" s="53">
        <v>4500</v>
      </c>
      <c r="B102" s="10" t="s">
        <v>439</v>
      </c>
      <c r="C102" s="56" t="s">
        <v>19</v>
      </c>
      <c r="D102" s="22">
        <f>SUM(D104,D108,D112,D123)</f>
        <v>0</v>
      </c>
      <c r="E102" s="22">
        <f>SUM(E104,E108,E112,E123)</f>
        <v>0</v>
      </c>
      <c r="F102" s="22" t="s">
        <v>0</v>
      </c>
      <c r="G102" s="22">
        <f>SUM(G104,G108,G112,G123)</f>
        <v>0</v>
      </c>
      <c r="H102" s="22">
        <f>SUM(H104,H108,H112,H123)</f>
        <v>0</v>
      </c>
      <c r="I102" s="22">
        <f>SUM(I104,I108,I112,I123)</f>
        <v>0</v>
      </c>
      <c r="J102" s="22">
        <f>SUM(J104,J108,J112,J123)</f>
        <v>0</v>
      </c>
      <c r="K102" s="35"/>
      <c r="L102" s="20"/>
      <c r="M102" s="165"/>
    </row>
    <row r="103" spans="1:13">
      <c r="A103" s="53"/>
      <c r="B103" s="12" t="s">
        <v>375</v>
      </c>
      <c r="C103" s="54"/>
      <c r="D103" s="22"/>
      <c r="E103" s="22"/>
      <c r="F103" s="22"/>
      <c r="G103" s="22"/>
      <c r="H103" s="22"/>
      <c r="I103" s="22"/>
      <c r="J103" s="22"/>
      <c r="K103" s="35"/>
      <c r="L103" s="20"/>
      <c r="M103" s="165"/>
    </row>
    <row r="104" spans="1:13" ht="27">
      <c r="A104" s="53">
        <v>4510</v>
      </c>
      <c r="B104" s="10" t="s">
        <v>440</v>
      </c>
      <c r="C104" s="56" t="s">
        <v>19</v>
      </c>
      <c r="D104" s="22">
        <f>SUM(D106:D107)</f>
        <v>0</v>
      </c>
      <c r="E104" s="22">
        <f>SUM(E106:E107)</f>
        <v>0</v>
      </c>
      <c r="F104" s="22" t="s">
        <v>0</v>
      </c>
      <c r="G104" s="22">
        <f>SUM(G106:G107)</f>
        <v>0</v>
      </c>
      <c r="H104" s="22">
        <f>SUM(H106:H107)</f>
        <v>0</v>
      </c>
      <c r="I104" s="22">
        <f>SUM(I106:I107)</f>
        <v>0</v>
      </c>
      <c r="J104" s="22">
        <f>SUM(J106:J107)</f>
        <v>0</v>
      </c>
      <c r="K104" s="35"/>
      <c r="L104" s="20"/>
      <c r="M104" s="165"/>
    </row>
    <row r="105" spans="1:13">
      <c r="A105" s="53"/>
      <c r="B105" s="12" t="s">
        <v>156</v>
      </c>
      <c r="C105" s="56"/>
      <c r="D105" s="22"/>
      <c r="E105" s="22"/>
      <c r="F105" s="22"/>
      <c r="G105" s="22"/>
      <c r="H105" s="22"/>
      <c r="I105" s="22"/>
      <c r="J105" s="22"/>
      <c r="K105" s="35"/>
      <c r="L105" s="20"/>
      <c r="M105" s="165"/>
    </row>
    <row r="106" spans="1:13" ht="27">
      <c r="A106" s="53">
        <v>4511</v>
      </c>
      <c r="B106" s="10" t="s">
        <v>441</v>
      </c>
      <c r="C106" s="56" t="s">
        <v>63</v>
      </c>
      <c r="D106" s="22"/>
      <c r="E106" s="213"/>
      <c r="F106" s="22" t="s">
        <v>1</v>
      </c>
      <c r="G106" s="22"/>
      <c r="H106" s="22"/>
      <c r="I106" s="22"/>
      <c r="J106" s="22"/>
      <c r="K106" s="35"/>
      <c r="L106" s="20"/>
      <c r="M106" s="165"/>
    </row>
    <row r="107" spans="1:13" ht="27">
      <c r="A107" s="53">
        <v>4512</v>
      </c>
      <c r="B107" s="10" t="s">
        <v>442</v>
      </c>
      <c r="C107" s="56" t="s">
        <v>64</v>
      </c>
      <c r="D107" s="22"/>
      <c r="E107" s="213"/>
      <c r="F107" s="22" t="s">
        <v>1</v>
      </c>
      <c r="G107" s="22"/>
      <c r="H107" s="22"/>
      <c r="I107" s="22"/>
      <c r="J107" s="22"/>
      <c r="K107" s="35"/>
      <c r="L107" s="20"/>
      <c r="M107" s="165"/>
    </row>
    <row r="108" spans="1:13" ht="27">
      <c r="A108" s="53">
        <v>4520</v>
      </c>
      <c r="B108" s="10" t="s">
        <v>443</v>
      </c>
      <c r="C108" s="56" t="s">
        <v>19</v>
      </c>
      <c r="D108" s="22">
        <f>SUM(D110:D111)</f>
        <v>0</v>
      </c>
      <c r="E108" s="22">
        <f>SUM(E110:E111)</f>
        <v>0</v>
      </c>
      <c r="F108" s="22" t="s">
        <v>0</v>
      </c>
      <c r="G108" s="22">
        <f>SUM(G110:G111)</f>
        <v>0</v>
      </c>
      <c r="H108" s="22">
        <f>SUM(H110:H111)</f>
        <v>0</v>
      </c>
      <c r="I108" s="22">
        <f>SUM(I110:I111)</f>
        <v>0</v>
      </c>
      <c r="J108" s="22">
        <f>SUM(J110:J111)</f>
        <v>0</v>
      </c>
      <c r="K108" s="35"/>
      <c r="L108" s="20"/>
      <c r="M108" s="165"/>
    </row>
    <row r="109" spans="1:13">
      <c r="A109" s="53"/>
      <c r="B109" s="12" t="s">
        <v>156</v>
      </c>
      <c r="C109" s="56"/>
      <c r="D109" s="22"/>
      <c r="E109" s="22"/>
      <c r="F109" s="22"/>
      <c r="G109" s="22"/>
      <c r="H109" s="22"/>
      <c r="I109" s="22"/>
      <c r="J109" s="22"/>
      <c r="K109" s="35"/>
      <c r="L109" s="20"/>
      <c r="M109" s="165"/>
    </row>
    <row r="110" spans="1:13" ht="27">
      <c r="A110" s="53">
        <v>4521</v>
      </c>
      <c r="B110" s="10" t="s">
        <v>444</v>
      </c>
      <c r="C110" s="56" t="s">
        <v>65</v>
      </c>
      <c r="D110" s="22"/>
      <c r="E110" s="22"/>
      <c r="F110" s="22" t="s">
        <v>1</v>
      </c>
      <c r="G110" s="22"/>
      <c r="H110" s="22"/>
      <c r="I110" s="22"/>
      <c r="J110" s="22"/>
      <c r="K110" s="35"/>
      <c r="L110" s="20"/>
      <c r="M110" s="165"/>
    </row>
    <row r="111" spans="1:13" ht="27">
      <c r="A111" s="53">
        <v>4522</v>
      </c>
      <c r="B111" s="10" t="s">
        <v>445</v>
      </c>
      <c r="C111" s="56" t="s">
        <v>66</v>
      </c>
      <c r="D111" s="22"/>
      <c r="E111" s="22"/>
      <c r="F111" s="22" t="s">
        <v>1</v>
      </c>
      <c r="G111" s="22"/>
      <c r="H111" s="22"/>
      <c r="I111" s="22"/>
      <c r="J111" s="22"/>
      <c r="K111" s="35"/>
      <c r="L111" s="20"/>
      <c r="M111" s="165"/>
    </row>
    <row r="112" spans="1:13" ht="27">
      <c r="A112" s="53">
        <v>4530</v>
      </c>
      <c r="B112" s="10" t="s">
        <v>446</v>
      </c>
      <c r="C112" s="56" t="s">
        <v>19</v>
      </c>
      <c r="D112" s="22">
        <f>SUM(D114:D116)</f>
        <v>0</v>
      </c>
      <c r="E112" s="22">
        <f>SUM(E114:E116)</f>
        <v>0</v>
      </c>
      <c r="F112" s="22" t="s">
        <v>1</v>
      </c>
      <c r="G112" s="22">
        <f>SUM(G114:G116)</f>
        <v>0</v>
      </c>
      <c r="H112" s="22">
        <f>SUM(H114:H116)</f>
        <v>0</v>
      </c>
      <c r="I112" s="22">
        <f>SUM(I114:I116)</f>
        <v>0</v>
      </c>
      <c r="J112" s="22">
        <f>SUM(J114:J116)</f>
        <v>0</v>
      </c>
      <c r="K112" s="35"/>
      <c r="L112" s="20"/>
      <c r="M112" s="165"/>
    </row>
    <row r="113" spans="1:13">
      <c r="A113" s="53"/>
      <c r="B113" s="12" t="s">
        <v>156</v>
      </c>
      <c r="C113" s="56"/>
      <c r="D113" s="22"/>
      <c r="E113" s="22"/>
      <c r="F113" s="22" t="s">
        <v>1</v>
      </c>
      <c r="G113" s="22"/>
      <c r="H113" s="22"/>
      <c r="I113" s="22"/>
      <c r="J113" s="22"/>
      <c r="K113" s="35"/>
      <c r="L113" s="20"/>
      <c r="M113" s="165"/>
    </row>
    <row r="114" spans="1:13" ht="27">
      <c r="A114" s="53">
        <v>4531</v>
      </c>
      <c r="B114" s="72" t="s">
        <v>447</v>
      </c>
      <c r="C114" s="56" t="s">
        <v>67</v>
      </c>
      <c r="D114" s="22">
        <f>+'4.Gorcarakan ev tntesagitakan'!H112+'4.Gorcarakan ev tntesagitakan'!H618</f>
        <v>0</v>
      </c>
      <c r="E114" s="22">
        <f>+'4.Gorcarakan ev tntesagitakan'!I112+'4.Gorcarakan ev tntesagitakan'!I618</f>
        <v>0</v>
      </c>
      <c r="F114" s="22" t="s">
        <v>1</v>
      </c>
      <c r="G114" s="22">
        <f>+'4.Gorcarakan ev tntesagitakan'!K112+'4.Gorcarakan ev tntesagitakan'!K618</f>
        <v>0</v>
      </c>
      <c r="H114" s="22">
        <f>+'4.Gorcarakan ev tntesagitakan'!L112+'4.Gorcarakan ev tntesagitakan'!L618</f>
        <v>0</v>
      </c>
      <c r="I114" s="22">
        <f>+'4.Gorcarakan ev tntesagitakan'!M112+'4.Gorcarakan ev tntesagitakan'!M618</f>
        <v>0</v>
      </c>
      <c r="J114" s="22">
        <f>+'4.Gorcarakan ev tntesagitakan'!N112+'4.Gorcarakan ev tntesagitakan'!N618</f>
        <v>0</v>
      </c>
      <c r="K114" s="35"/>
      <c r="L114" s="20"/>
      <c r="M114" s="165"/>
    </row>
    <row r="115" spans="1:13" ht="27">
      <c r="A115" s="53">
        <v>4532</v>
      </c>
      <c r="B115" s="72" t="s">
        <v>448</v>
      </c>
      <c r="C115" s="56" t="s">
        <v>68</v>
      </c>
      <c r="D115" s="22"/>
      <c r="E115" s="22"/>
      <c r="F115" s="22" t="s">
        <v>1</v>
      </c>
      <c r="G115" s="22"/>
      <c r="H115" s="22"/>
      <c r="I115" s="22"/>
      <c r="J115" s="22"/>
      <c r="K115" s="35"/>
      <c r="L115" s="20"/>
      <c r="M115" s="165"/>
    </row>
    <row r="116" spans="1:13" ht="27">
      <c r="A116" s="53">
        <v>4533</v>
      </c>
      <c r="B116" s="72" t="s">
        <v>449</v>
      </c>
      <c r="C116" s="56" t="s">
        <v>69</v>
      </c>
      <c r="D116" s="22"/>
      <c r="E116" s="22"/>
      <c r="F116" s="22" t="s">
        <v>1</v>
      </c>
      <c r="G116" s="22"/>
      <c r="H116" s="22"/>
      <c r="I116" s="22"/>
      <c r="J116" s="22"/>
      <c r="K116" s="35"/>
      <c r="L116" s="20"/>
      <c r="M116" s="165"/>
    </row>
    <row r="117" spans="1:13">
      <c r="A117" s="53"/>
      <c r="B117" s="72" t="s">
        <v>375</v>
      </c>
      <c r="C117" s="56"/>
      <c r="D117" s="22"/>
      <c r="E117" s="22"/>
      <c r="F117" s="22" t="s">
        <v>1</v>
      </c>
      <c r="G117" s="22"/>
      <c r="H117" s="22"/>
      <c r="I117" s="22"/>
      <c r="J117" s="22"/>
      <c r="K117" s="35"/>
      <c r="L117" s="20"/>
      <c r="M117" s="165"/>
    </row>
    <row r="118" spans="1:13" ht="27">
      <c r="A118" s="53">
        <v>4534</v>
      </c>
      <c r="B118" s="72" t="s">
        <v>450</v>
      </c>
      <c r="C118" s="56"/>
      <c r="D118" s="22">
        <f>SUM(D120:D120)</f>
        <v>0</v>
      </c>
      <c r="E118" s="22">
        <f>SUM(E120:E120)</f>
        <v>0</v>
      </c>
      <c r="F118" s="22" t="s">
        <v>1</v>
      </c>
      <c r="G118" s="22">
        <f>SUM(G120:G120)</f>
        <v>0</v>
      </c>
      <c r="H118" s="22">
        <f>SUM(H120:H120)</f>
        <v>0</v>
      </c>
      <c r="I118" s="22">
        <f>SUM(I120:I120)</f>
        <v>0</v>
      </c>
      <c r="J118" s="22">
        <f>SUM(J120:J120)</f>
        <v>0</v>
      </c>
      <c r="K118" s="35"/>
      <c r="L118" s="20"/>
      <c r="M118" s="165"/>
    </row>
    <row r="119" spans="1:13">
      <c r="A119" s="53"/>
      <c r="B119" s="72" t="s">
        <v>451</v>
      </c>
      <c r="C119" s="56"/>
      <c r="D119" s="22"/>
      <c r="E119" s="22"/>
      <c r="F119" s="22" t="s">
        <v>1</v>
      </c>
      <c r="G119" s="22"/>
      <c r="H119" s="22"/>
      <c r="I119" s="22"/>
      <c r="J119" s="22"/>
      <c r="K119" s="35"/>
      <c r="L119" s="20"/>
      <c r="M119" s="165"/>
    </row>
    <row r="120" spans="1:13">
      <c r="A120" s="53">
        <v>4536</v>
      </c>
      <c r="B120" s="72" t="s">
        <v>452</v>
      </c>
      <c r="C120" s="56"/>
      <c r="D120" s="22">
        <f>SUM(E120:F120)</f>
        <v>0</v>
      </c>
      <c r="E120" s="22"/>
      <c r="F120" s="22" t="s">
        <v>1</v>
      </c>
      <c r="G120" s="22">
        <f t="shared" ref="G120:H122" si="6">SUM(H120:I120)</f>
        <v>0</v>
      </c>
      <c r="H120" s="22">
        <f t="shared" si="6"/>
        <v>0</v>
      </c>
      <c r="I120" s="22">
        <f>SUM(J120:L120)</f>
        <v>0</v>
      </c>
      <c r="J120" s="22">
        <f>SUM(L120:L120)</f>
        <v>0</v>
      </c>
      <c r="K120" s="35"/>
      <c r="L120" s="20"/>
      <c r="M120" s="165"/>
    </row>
    <row r="121" spans="1:13">
      <c r="A121" s="53">
        <v>4537</v>
      </c>
      <c r="B121" s="72" t="s">
        <v>453</v>
      </c>
      <c r="C121" s="56"/>
      <c r="D121" s="22">
        <f>SUM(E121:F121)</f>
        <v>0</v>
      </c>
      <c r="E121" s="22"/>
      <c r="F121" s="22" t="s">
        <v>1</v>
      </c>
      <c r="G121" s="22">
        <f t="shared" si="6"/>
        <v>0</v>
      </c>
      <c r="H121" s="22">
        <f t="shared" si="6"/>
        <v>0</v>
      </c>
      <c r="I121" s="22">
        <f>SUM(J121:L121)</f>
        <v>0</v>
      </c>
      <c r="J121" s="22">
        <f>SUM(L121:L121)</f>
        <v>0</v>
      </c>
      <c r="K121" s="35"/>
      <c r="L121" s="20"/>
      <c r="M121" s="165"/>
    </row>
    <row r="122" spans="1:13">
      <c r="A122" s="53">
        <v>4538</v>
      </c>
      <c r="B122" s="72" t="s">
        <v>454</v>
      </c>
      <c r="C122" s="56"/>
      <c r="D122" s="22">
        <f>SUM(E122:F122)</f>
        <v>0</v>
      </c>
      <c r="E122" s="22"/>
      <c r="F122" s="22" t="s">
        <v>1</v>
      </c>
      <c r="G122" s="22">
        <f t="shared" si="6"/>
        <v>0</v>
      </c>
      <c r="H122" s="22">
        <f t="shared" si="6"/>
        <v>0</v>
      </c>
      <c r="I122" s="22">
        <f>SUM(J122:L122)</f>
        <v>0</v>
      </c>
      <c r="J122" s="22">
        <f>SUM(L122:L122)</f>
        <v>0</v>
      </c>
      <c r="K122" s="35"/>
      <c r="L122" s="20"/>
      <c r="M122" s="165"/>
    </row>
    <row r="123" spans="1:13" ht="27">
      <c r="A123" s="53">
        <v>4540</v>
      </c>
      <c r="B123" s="10" t="s">
        <v>455</v>
      </c>
      <c r="C123" s="56" t="s">
        <v>19</v>
      </c>
      <c r="D123" s="22">
        <f>SUM(D125:D127)</f>
        <v>0</v>
      </c>
      <c r="E123" s="220">
        <f>E125+E126+E127</f>
        <v>0</v>
      </c>
      <c r="F123" s="22" t="s">
        <v>1</v>
      </c>
      <c r="G123" s="22">
        <f>SUM(G125:G127)</f>
        <v>0</v>
      </c>
      <c r="H123" s="22">
        <f>SUM(H125:H127)</f>
        <v>0</v>
      </c>
      <c r="I123" s="22">
        <f>SUM(I125:I127)</f>
        <v>0</v>
      </c>
      <c r="J123" s="22">
        <f>SUM(J125:J127)</f>
        <v>0</v>
      </c>
      <c r="K123" s="35"/>
      <c r="L123" s="20"/>
      <c r="M123" s="165"/>
    </row>
    <row r="124" spans="1:13">
      <c r="A124" s="53"/>
      <c r="B124" s="12" t="s">
        <v>156</v>
      </c>
      <c r="C124" s="56"/>
      <c r="D124" s="22"/>
      <c r="E124" s="22"/>
      <c r="F124" s="22"/>
      <c r="G124" s="22"/>
      <c r="H124" s="22"/>
      <c r="I124" s="22"/>
      <c r="J124" s="22"/>
      <c r="K124" s="35"/>
      <c r="L124" s="20"/>
      <c r="M124" s="165"/>
    </row>
    <row r="125" spans="1:13" ht="27">
      <c r="A125" s="53">
        <v>4541</v>
      </c>
      <c r="B125" s="72" t="s">
        <v>456</v>
      </c>
      <c r="C125" s="56" t="s">
        <v>70</v>
      </c>
      <c r="D125" s="22"/>
      <c r="E125" s="213"/>
      <c r="F125" s="22" t="s">
        <v>1</v>
      </c>
      <c r="G125" s="22"/>
      <c r="H125" s="22"/>
      <c r="I125" s="22"/>
      <c r="J125" s="22"/>
      <c r="K125" s="35"/>
      <c r="L125" s="20"/>
      <c r="M125" s="165"/>
    </row>
    <row r="126" spans="1:13" ht="27">
      <c r="A126" s="53">
        <v>4542</v>
      </c>
      <c r="B126" s="72" t="s">
        <v>457</v>
      </c>
      <c r="C126" s="56" t="s">
        <v>71</v>
      </c>
      <c r="D126" s="22"/>
      <c r="E126" s="213"/>
      <c r="F126" s="22" t="s">
        <v>1</v>
      </c>
      <c r="G126" s="22"/>
      <c r="H126" s="22"/>
      <c r="I126" s="22"/>
      <c r="J126" s="22"/>
      <c r="K126" s="35"/>
      <c r="L126" s="20"/>
      <c r="M126" s="165"/>
    </row>
    <row r="127" spans="1:13" ht="27">
      <c r="A127" s="53">
        <v>4543</v>
      </c>
      <c r="B127" s="72" t="s">
        <v>458</v>
      </c>
      <c r="C127" s="56" t="s">
        <v>72</v>
      </c>
      <c r="D127" s="22"/>
      <c r="E127" s="220"/>
      <c r="F127" s="22" t="s">
        <v>1</v>
      </c>
      <c r="G127" s="22"/>
      <c r="H127" s="22"/>
      <c r="I127" s="22"/>
      <c r="J127" s="22"/>
      <c r="K127" s="35"/>
      <c r="L127" s="20"/>
      <c r="M127" s="165"/>
    </row>
    <row r="128" spans="1:13">
      <c r="A128" s="53"/>
      <c r="B128" s="72" t="s">
        <v>375</v>
      </c>
      <c r="C128" s="56"/>
      <c r="D128" s="22"/>
      <c r="E128" s="22"/>
      <c r="F128" s="22"/>
      <c r="G128" s="22"/>
      <c r="H128" s="22"/>
      <c r="I128" s="22"/>
      <c r="J128" s="22"/>
      <c r="K128" s="35"/>
      <c r="L128" s="20"/>
      <c r="M128" s="165"/>
    </row>
    <row r="129" spans="1:13" ht="27">
      <c r="A129" s="53">
        <v>4544</v>
      </c>
      <c r="B129" s="72" t="s">
        <v>459</v>
      </c>
      <c r="C129" s="56"/>
      <c r="D129" s="22">
        <f>SUM(D131:D131)</f>
        <v>0</v>
      </c>
      <c r="E129" s="220">
        <f>E131+E132+E133</f>
        <v>0</v>
      </c>
      <c r="F129" s="22" t="s">
        <v>1</v>
      </c>
      <c r="G129" s="22">
        <f>SUM(G131:G131)</f>
        <v>0</v>
      </c>
      <c r="H129" s="22">
        <f>SUM(H131:H131)</f>
        <v>0</v>
      </c>
      <c r="I129" s="22">
        <f>SUM(I131:I131)</f>
        <v>0</v>
      </c>
      <c r="J129" s="22">
        <f>SUM(J131:J131)</f>
        <v>0</v>
      </c>
      <c r="K129" s="35"/>
      <c r="L129" s="20"/>
      <c r="M129" s="165"/>
    </row>
    <row r="130" spans="1:13">
      <c r="A130" s="53"/>
      <c r="B130" s="72" t="s">
        <v>451</v>
      </c>
      <c r="C130" s="56"/>
      <c r="D130" s="22"/>
      <c r="E130" s="213"/>
      <c r="F130" s="22" t="s">
        <v>1</v>
      </c>
      <c r="G130" s="22"/>
      <c r="H130" s="22"/>
      <c r="I130" s="22"/>
      <c r="J130" s="22"/>
      <c r="K130" s="35"/>
      <c r="L130" s="20"/>
      <c r="M130" s="165"/>
    </row>
    <row r="131" spans="1:13">
      <c r="A131" s="53">
        <v>4546</v>
      </c>
      <c r="B131" s="72" t="s">
        <v>460</v>
      </c>
      <c r="C131" s="56"/>
      <c r="D131" s="22">
        <f>SUM(E131:F131)</f>
        <v>0</v>
      </c>
      <c r="E131" s="213"/>
      <c r="F131" s="22" t="s">
        <v>1</v>
      </c>
      <c r="G131" s="22"/>
      <c r="H131" s="22"/>
      <c r="I131" s="22"/>
      <c r="J131" s="22"/>
      <c r="K131" s="35"/>
      <c r="L131" s="20"/>
      <c r="M131" s="165"/>
    </row>
    <row r="132" spans="1:13">
      <c r="A132" s="53">
        <v>4547</v>
      </c>
      <c r="B132" s="72" t="s">
        <v>453</v>
      </c>
      <c r="C132" s="56"/>
      <c r="D132" s="22">
        <f>SUM(E132:F132)</f>
        <v>0</v>
      </c>
      <c r="E132" s="213"/>
      <c r="F132" s="22" t="s">
        <v>1</v>
      </c>
      <c r="G132" s="22"/>
      <c r="H132" s="22"/>
      <c r="I132" s="22"/>
      <c r="J132" s="22"/>
      <c r="K132" s="35"/>
      <c r="L132" s="20"/>
      <c r="M132" s="165"/>
    </row>
    <row r="133" spans="1:13">
      <c r="A133" s="53">
        <v>4548</v>
      </c>
      <c r="B133" s="72" t="s">
        <v>454</v>
      </c>
      <c r="C133" s="56"/>
      <c r="D133" s="22">
        <f>SUM(E133:F133)</f>
        <v>0</v>
      </c>
      <c r="E133" s="213"/>
      <c r="F133" s="22" t="s">
        <v>1</v>
      </c>
      <c r="G133" s="22"/>
      <c r="H133" s="22"/>
      <c r="I133" s="22"/>
      <c r="J133" s="22"/>
      <c r="K133" s="35"/>
      <c r="L133" s="20"/>
      <c r="M133" s="165"/>
    </row>
    <row r="134" spans="1:13" ht="27">
      <c r="A134" s="53">
        <v>4600</v>
      </c>
      <c r="B134" s="10" t="s">
        <v>461</v>
      </c>
      <c r="C134" s="56" t="s">
        <v>19</v>
      </c>
      <c r="D134" s="22">
        <f>SUM(D136,D140,D146)</f>
        <v>214839.7</v>
      </c>
      <c r="E134" s="22">
        <f>SUM(E136,E140,E146)</f>
        <v>214839.7</v>
      </c>
      <c r="F134" s="22" t="s">
        <v>0</v>
      </c>
      <c r="G134" s="22">
        <f>SUM(G136,G140,G146)</f>
        <v>38433.271428571432</v>
      </c>
      <c r="H134" s="22">
        <f>SUM(H136,H140,H146)</f>
        <v>83212.985714285707</v>
      </c>
      <c r="I134" s="22">
        <f>SUM(I136,I140,I146)</f>
        <v>141318.19523809524</v>
      </c>
      <c r="J134" s="22">
        <f>SUM(J136,J140,J146)</f>
        <v>214839.7</v>
      </c>
      <c r="K134" s="35"/>
      <c r="L134" s="20"/>
      <c r="M134" s="165"/>
    </row>
    <row r="135" spans="1:13">
      <c r="A135" s="53"/>
      <c r="B135" s="12" t="s">
        <v>375</v>
      </c>
      <c r="C135" s="54"/>
      <c r="D135" s="22"/>
      <c r="E135" s="22"/>
      <c r="F135" s="22"/>
      <c r="G135" s="22"/>
      <c r="H135" s="22"/>
      <c r="I135" s="22"/>
      <c r="J135" s="22"/>
      <c r="K135" s="35"/>
      <c r="L135" s="20"/>
      <c r="M135" s="165"/>
    </row>
    <row r="136" spans="1:13">
      <c r="A136" s="53">
        <v>4610</v>
      </c>
      <c r="B136" s="12" t="s">
        <v>462</v>
      </c>
      <c r="C136" s="54"/>
      <c r="D136" s="22">
        <f>SUM(D138:D139)</f>
        <v>0</v>
      </c>
      <c r="E136" s="22">
        <f>SUM(E138:E139)</f>
        <v>0</v>
      </c>
      <c r="F136" s="22" t="s">
        <v>0</v>
      </c>
      <c r="G136" s="22">
        <f>SUM(G138:G139)</f>
        <v>0</v>
      </c>
      <c r="H136" s="22">
        <f>SUM(H138:H139)</f>
        <v>0</v>
      </c>
      <c r="I136" s="22">
        <f>SUM(I138:I139)</f>
        <v>0</v>
      </c>
      <c r="J136" s="22">
        <f>SUM(J138:J139)</f>
        <v>0</v>
      </c>
      <c r="K136" s="35"/>
      <c r="L136" s="20"/>
      <c r="M136" s="165"/>
    </row>
    <row r="137" spans="1:13">
      <c r="A137" s="53"/>
      <c r="B137" s="12" t="s">
        <v>375</v>
      </c>
      <c r="C137" s="54"/>
      <c r="D137" s="22"/>
      <c r="E137" s="22"/>
      <c r="F137" s="22"/>
      <c r="G137" s="22"/>
      <c r="H137" s="22"/>
      <c r="I137" s="22"/>
      <c r="J137" s="22"/>
      <c r="K137" s="35"/>
      <c r="L137" s="20"/>
      <c r="M137" s="165"/>
    </row>
    <row r="138" spans="1:13" ht="36" customHeight="1">
      <c r="A138" s="53">
        <v>4610</v>
      </c>
      <c r="B138" s="15" t="s">
        <v>463</v>
      </c>
      <c r="C138" s="54" t="s">
        <v>73</v>
      </c>
      <c r="D138" s="22"/>
      <c r="E138" s="22"/>
      <c r="F138" s="22" t="s">
        <v>1</v>
      </c>
      <c r="G138" s="22"/>
      <c r="H138" s="22"/>
      <c r="I138" s="22"/>
      <c r="J138" s="22"/>
      <c r="K138" s="35"/>
      <c r="L138" s="20"/>
      <c r="M138" s="165"/>
    </row>
    <row r="139" spans="1:13" ht="33.75" customHeight="1">
      <c r="A139" s="53">
        <v>4620</v>
      </c>
      <c r="B139" s="15" t="s">
        <v>464</v>
      </c>
      <c r="C139" s="54" t="s">
        <v>74</v>
      </c>
      <c r="D139" s="22"/>
      <c r="E139" s="22"/>
      <c r="F139" s="22" t="s">
        <v>1</v>
      </c>
      <c r="G139" s="22"/>
      <c r="H139" s="22"/>
      <c r="I139" s="22"/>
      <c r="J139" s="22"/>
      <c r="K139" s="35"/>
      <c r="L139" s="20"/>
      <c r="M139" s="165"/>
    </row>
    <row r="140" spans="1:13" ht="46.5" customHeight="1">
      <c r="A140" s="53">
        <v>4630</v>
      </c>
      <c r="B140" s="10" t="s">
        <v>465</v>
      </c>
      <c r="C140" s="56" t="s">
        <v>19</v>
      </c>
      <c r="D140" s="22">
        <f>SUM(D142:D145)</f>
        <v>214839.7</v>
      </c>
      <c r="E140" s="22">
        <f>SUM(E142:E145)</f>
        <v>214839.7</v>
      </c>
      <c r="F140" s="22" t="s">
        <v>1</v>
      </c>
      <c r="G140" s="22">
        <f>SUM(G142:G145)</f>
        <v>38433.271428571432</v>
      </c>
      <c r="H140" s="22">
        <f>SUM(H142:H145)</f>
        <v>83212.985714285707</v>
      </c>
      <c r="I140" s="22">
        <f>SUM(I142:I145)</f>
        <v>141318.19523809524</v>
      </c>
      <c r="J140" s="22">
        <f>SUM(J142:J145)</f>
        <v>214839.7</v>
      </c>
      <c r="K140" s="35"/>
      <c r="L140" s="20"/>
      <c r="M140" s="165"/>
    </row>
    <row r="141" spans="1:13">
      <c r="A141" s="53"/>
      <c r="B141" s="12" t="s">
        <v>156</v>
      </c>
      <c r="C141" s="56"/>
      <c r="D141" s="22"/>
      <c r="E141" s="22"/>
      <c r="F141" s="22"/>
      <c r="G141" s="22"/>
      <c r="H141" s="22"/>
      <c r="I141" s="22"/>
      <c r="J141" s="22"/>
      <c r="K141" s="35"/>
      <c r="L141" s="20"/>
      <c r="M141" s="165"/>
    </row>
    <row r="142" spans="1:13">
      <c r="A142" s="53">
        <v>4631</v>
      </c>
      <c r="B142" s="10" t="s">
        <v>466</v>
      </c>
      <c r="C142" s="56" t="s">
        <v>75</v>
      </c>
      <c r="D142" s="22"/>
      <c r="E142" s="22"/>
      <c r="F142" s="22" t="s">
        <v>1</v>
      </c>
      <c r="G142" s="22"/>
      <c r="H142" s="22"/>
      <c r="I142" s="22"/>
      <c r="J142" s="22"/>
      <c r="K142" s="35"/>
      <c r="L142" s="20"/>
      <c r="M142" s="165"/>
    </row>
    <row r="143" spans="1:13" ht="27">
      <c r="A143" s="53">
        <v>4632</v>
      </c>
      <c r="B143" s="10" t="s">
        <v>467</v>
      </c>
      <c r="C143" s="56" t="s">
        <v>76</v>
      </c>
      <c r="D143" s="22">
        <f>+'4.Gorcarakan ev tntesagitakan'!H554+'4.Gorcarakan ev tntesagitakan'!H574+'4.Gorcarakan ev tntesagitakan'!H637</f>
        <v>47876</v>
      </c>
      <c r="E143" s="22">
        <f>+'4.Gorcarakan ev tntesagitakan'!I554+'4.Gorcarakan ev tntesagitakan'!I574+'4.Gorcarakan ev tntesagitakan'!I637</f>
        <v>47876</v>
      </c>
      <c r="F143" s="22" t="s">
        <v>1</v>
      </c>
      <c r="G143" s="22">
        <f>+'4.Gorcarakan ev tntesagitakan'!K554+'4.Gorcarakan ev tntesagitakan'!K574+'4.Gorcarakan ev tntesagitakan'!K637</f>
        <v>3065.7142857142862</v>
      </c>
      <c r="H143" s="22">
        <f>+'4.Gorcarakan ev tntesagitakan'!L554+'4.Gorcarakan ev tntesagitakan'!L574+'4.Gorcarakan ev tntesagitakan'!L637</f>
        <v>6182.5238095238101</v>
      </c>
      <c r="I143" s="22">
        <f>+'4.Gorcarakan ev tntesagitakan'!M554+'4.Gorcarakan ev tntesagitakan'!M574+'4.Gorcarakan ev tntesagitakan'!M637</f>
        <v>23367.885714285712</v>
      </c>
      <c r="J143" s="22">
        <f>+'4.Gorcarakan ev tntesagitakan'!N554+'4.Gorcarakan ev tntesagitakan'!N574+'4.Gorcarakan ev tntesagitakan'!N637</f>
        <v>47876</v>
      </c>
      <c r="K143" s="35"/>
      <c r="L143" s="20"/>
      <c r="M143" s="165"/>
    </row>
    <row r="144" spans="1:13">
      <c r="A144" s="53">
        <v>4633</v>
      </c>
      <c r="B144" s="10" t="s">
        <v>468</v>
      </c>
      <c r="C144" s="56" t="s">
        <v>77</v>
      </c>
      <c r="D144" s="22">
        <f>+'4.Gorcarakan ev tntesagitakan'!H743</f>
        <v>1200</v>
      </c>
      <c r="E144" s="22">
        <f>+'4.Gorcarakan ev tntesagitakan'!I743</f>
        <v>1200</v>
      </c>
      <c r="F144" s="22" t="s">
        <v>1</v>
      </c>
      <c r="G144" s="22">
        <f>+'4.Gorcarakan ev tntesagitakan'!K743</f>
        <v>285.71428571428572</v>
      </c>
      <c r="H144" s="22">
        <f>+'4.Gorcarakan ev tntesagitakan'!L743</f>
        <v>576.19047619047615</v>
      </c>
      <c r="I144" s="22">
        <f>+'4.Gorcarakan ev tntesagitakan'!M743</f>
        <v>890.47619047619048</v>
      </c>
      <c r="J144" s="22">
        <f>+'4.Gorcarakan ev tntesagitakan'!N743</f>
        <v>1200</v>
      </c>
      <c r="K144" s="35"/>
      <c r="L144" s="20"/>
      <c r="M144" s="165"/>
    </row>
    <row r="145" spans="1:13">
      <c r="A145" s="53">
        <v>4634</v>
      </c>
      <c r="B145" s="10" t="s">
        <v>469</v>
      </c>
      <c r="C145" s="56" t="s">
        <v>141</v>
      </c>
      <c r="D145" s="22">
        <f>+'4.Gorcarakan ev tntesagitakan'!H550+'4.Gorcarakan ev tntesagitakan'!H638+'4.Gorcarakan ev tntesagitakan'!H695+'4.Gorcarakan ev tntesagitakan'!H732+'4.Gorcarakan ev tntesagitakan'!H752</f>
        <v>165763.70000000001</v>
      </c>
      <c r="E145" s="22">
        <f>+'4.Gorcarakan ev tntesagitakan'!I550+'4.Gorcarakan ev tntesagitakan'!I638+'4.Gorcarakan ev tntesagitakan'!I695+'4.Gorcarakan ev tntesagitakan'!I732+'4.Gorcarakan ev tntesagitakan'!I752</f>
        <v>165763.70000000001</v>
      </c>
      <c r="F145" s="22" t="s">
        <v>1</v>
      </c>
      <c r="G145" s="22">
        <f>+'4.Gorcarakan ev tntesagitakan'!K550+'4.Gorcarakan ev tntesagitakan'!K638+'4.Gorcarakan ev tntesagitakan'!K695+'4.Gorcarakan ev tntesagitakan'!K732+'4.Gorcarakan ev tntesagitakan'!K752</f>
        <v>35081.842857142859</v>
      </c>
      <c r="H145" s="22">
        <f>+'4.Gorcarakan ev tntesagitakan'!L550+'4.Gorcarakan ev tntesagitakan'!L638+'4.Gorcarakan ev tntesagitakan'!L695+'4.Gorcarakan ev tntesagitakan'!L732+'4.Gorcarakan ev tntesagitakan'!L752</f>
        <v>76454.271428571417</v>
      </c>
      <c r="I145" s="22">
        <f>+'4.Gorcarakan ev tntesagitakan'!M550+'4.Gorcarakan ev tntesagitakan'!M638+'4.Gorcarakan ev tntesagitakan'!M695+'4.Gorcarakan ev tntesagitakan'!M732+'4.Gorcarakan ev tntesagitakan'!M752</f>
        <v>117059.83333333333</v>
      </c>
      <c r="J145" s="22">
        <f>+'4.Gorcarakan ev tntesagitakan'!N550+'4.Gorcarakan ev tntesagitakan'!N638+'4.Gorcarakan ev tntesagitakan'!N695+'4.Gorcarakan ev tntesagitakan'!N732+'4.Gorcarakan ev tntesagitakan'!N752</f>
        <v>165763.70000000001</v>
      </c>
      <c r="K145" s="35"/>
      <c r="L145" s="20"/>
      <c r="M145" s="165"/>
    </row>
    <row r="146" spans="1:13">
      <c r="A146" s="53">
        <v>4640</v>
      </c>
      <c r="B146" s="10" t="s">
        <v>470</v>
      </c>
      <c r="C146" s="56" t="s">
        <v>19</v>
      </c>
      <c r="D146" s="22">
        <f>SUM(D148)</f>
        <v>0</v>
      </c>
      <c r="E146" s="22">
        <f>SUM(E148)</f>
        <v>0</v>
      </c>
      <c r="F146" s="22" t="s">
        <v>1</v>
      </c>
      <c r="G146" s="22">
        <f>SUM(G148)</f>
        <v>0</v>
      </c>
      <c r="H146" s="22">
        <f>SUM(H148)</f>
        <v>0</v>
      </c>
      <c r="I146" s="22">
        <f>SUM(I148)</f>
        <v>0</v>
      </c>
      <c r="J146" s="22">
        <f>SUM(J148)</f>
        <v>0</v>
      </c>
      <c r="K146" s="35"/>
      <c r="L146" s="20"/>
      <c r="M146" s="165"/>
    </row>
    <row r="147" spans="1:13">
      <c r="A147" s="53"/>
      <c r="B147" s="12" t="s">
        <v>156</v>
      </c>
      <c r="C147" s="56"/>
      <c r="D147" s="22"/>
      <c r="E147" s="22"/>
      <c r="F147" s="22"/>
      <c r="G147" s="22"/>
      <c r="H147" s="22"/>
      <c r="I147" s="22"/>
      <c r="J147" s="22"/>
      <c r="K147" s="35"/>
      <c r="L147" s="20"/>
      <c r="M147" s="165"/>
    </row>
    <row r="148" spans="1:13">
      <c r="A148" s="53">
        <v>4641</v>
      </c>
      <c r="B148" s="10" t="s">
        <v>471</v>
      </c>
      <c r="C148" s="56" t="s">
        <v>78</v>
      </c>
      <c r="D148" s="22"/>
      <c r="E148" s="22"/>
      <c r="F148" s="22" t="s">
        <v>0</v>
      </c>
      <c r="G148" s="22">
        <f>+D148/4</f>
        <v>0</v>
      </c>
      <c r="H148" s="22">
        <f>+D148/4*2</f>
        <v>0</v>
      </c>
      <c r="I148" s="22">
        <f>+D148/4*3</f>
        <v>0</v>
      </c>
      <c r="J148" s="22">
        <f>+D148</f>
        <v>0</v>
      </c>
      <c r="K148" s="35"/>
      <c r="L148" s="20"/>
      <c r="M148" s="165"/>
    </row>
    <row r="149" spans="1:13" ht="40.5">
      <c r="A149" s="53">
        <v>4700</v>
      </c>
      <c r="B149" s="10" t="s">
        <v>472</v>
      </c>
      <c r="C149" s="56" t="s">
        <v>19</v>
      </c>
      <c r="D149" s="22">
        <f>SUM(D151,D155,D161,D164,D168,D171,D174)</f>
        <v>355274.29499999998</v>
      </c>
      <c r="E149" s="22">
        <f>SUM(E151,E155,E161,E164,E168,E171,E174)</f>
        <v>1281257.2949999999</v>
      </c>
      <c r="F149" s="22">
        <f>SUM(F151,F155,F161,F164,F168,F171,F174)</f>
        <v>925983</v>
      </c>
      <c r="G149" s="22">
        <f>SUM(G151,G155,G161,G164,G168,G171,)</f>
        <v>78001.786428570995</v>
      </c>
      <c r="H149" s="22">
        <f>SUM(H151,H155,H161,H164,H168,H171,)</f>
        <v>146116.46696428498</v>
      </c>
      <c r="I149" s="22">
        <f>SUM(I151,I155,I161,I164,I168,I171,)</f>
        <v>281973.04819444451</v>
      </c>
      <c r="J149" s="22">
        <f>SUM(J151,J155,J161,J164,J168,J171,)</f>
        <v>355274.29499999998</v>
      </c>
      <c r="K149" s="35"/>
      <c r="L149" s="20"/>
      <c r="M149" s="165"/>
    </row>
    <row r="150" spans="1:13">
      <c r="A150" s="53"/>
      <c r="B150" s="12" t="s">
        <v>375</v>
      </c>
      <c r="C150" s="54"/>
      <c r="D150" s="22"/>
      <c r="E150" s="22"/>
      <c r="F150" s="22"/>
      <c r="G150" s="22"/>
      <c r="H150" s="22"/>
      <c r="I150" s="22"/>
      <c r="J150" s="22"/>
      <c r="K150" s="35"/>
      <c r="L150" s="20"/>
      <c r="M150" s="165"/>
    </row>
    <row r="151" spans="1:13" ht="40.5">
      <c r="A151" s="53">
        <v>4710</v>
      </c>
      <c r="B151" s="10" t="s">
        <v>473</v>
      </c>
      <c r="C151" s="56" t="s">
        <v>19</v>
      </c>
      <c r="D151" s="22">
        <f>SUM(D153:D154)</f>
        <v>225527.05499999999</v>
      </c>
      <c r="E151" s="22">
        <f>SUM(E153:E154)</f>
        <v>225527.05499999999</v>
      </c>
      <c r="F151" s="22" t="s">
        <v>1</v>
      </c>
      <c r="G151" s="22">
        <f>SUM(G153:G154)</f>
        <v>57419.489285713847</v>
      </c>
      <c r="H151" s="22">
        <f>SUM(H153:H154)</f>
        <v>107198.5283928564</v>
      </c>
      <c r="I151" s="22">
        <f>SUM(I153:I154)</f>
        <v>169216.54676587306</v>
      </c>
      <c r="J151" s="22">
        <f>SUM(J153:J154)</f>
        <v>225527.05499999999</v>
      </c>
      <c r="K151" s="35"/>
      <c r="L151" s="20"/>
      <c r="M151" s="165"/>
    </row>
    <row r="152" spans="1:13">
      <c r="A152" s="53"/>
      <c r="B152" s="12" t="s">
        <v>156</v>
      </c>
      <c r="C152" s="56"/>
      <c r="D152" s="22"/>
      <c r="E152" s="22"/>
      <c r="F152" s="22"/>
      <c r="G152" s="22"/>
      <c r="H152" s="22"/>
      <c r="I152" s="22"/>
      <c r="J152" s="22"/>
      <c r="K152" s="35"/>
      <c r="L152" s="20"/>
      <c r="M152" s="165"/>
    </row>
    <row r="153" spans="1:13" ht="40.5">
      <c r="A153" s="53">
        <v>4711</v>
      </c>
      <c r="B153" s="10" t="s">
        <v>474</v>
      </c>
      <c r="C153" s="56" t="s">
        <v>79</v>
      </c>
      <c r="D153" s="22"/>
      <c r="E153" s="22"/>
      <c r="F153" s="22" t="s">
        <v>1</v>
      </c>
      <c r="G153" s="22">
        <f>+D153/4</f>
        <v>0</v>
      </c>
      <c r="H153" s="22">
        <f>+D153/4*2</f>
        <v>0</v>
      </c>
      <c r="I153" s="22">
        <f>+D153/4*3</f>
        <v>0</v>
      </c>
      <c r="J153" s="22">
        <f>+D153</f>
        <v>0</v>
      </c>
      <c r="K153" s="35"/>
      <c r="L153" s="20"/>
      <c r="M153" s="165"/>
    </row>
    <row r="154" spans="1:13" ht="27">
      <c r="A154" s="53">
        <v>4712</v>
      </c>
      <c r="B154" s="10" t="s">
        <v>475</v>
      </c>
      <c r="C154" s="56" t="s">
        <v>80</v>
      </c>
      <c r="D154" s="22">
        <f>+'4.Gorcarakan ev tntesagitakan'!H551+'4.Gorcarakan ev tntesagitakan'!H562+'4.Gorcarakan ev tntesagitakan'!H566+'4.Gorcarakan ev tntesagitakan'!H572+'4.Gorcarakan ev tntesagitakan'!H615+'4.Gorcarakan ev tntesagitakan'!H617+'4.Gorcarakan ev tntesagitakan'!H636+'4.Gorcarakan ev tntesagitakan'!H694+'4.Gorcarakan ev tntesagitakan'!H745+'4.Gorcarakan ev tntesagitakan'!H753</f>
        <v>225527.05499999999</v>
      </c>
      <c r="E154" s="22">
        <f>+'4.Gorcarakan ev tntesagitakan'!I551+'4.Gorcarakan ev tntesagitakan'!I562+'4.Gorcarakan ev tntesagitakan'!I566+'4.Gorcarakan ev tntesagitakan'!I572+'4.Gorcarakan ev tntesagitakan'!I615+'4.Gorcarakan ev tntesagitakan'!I617+'4.Gorcarakan ev tntesagitakan'!I636+'4.Gorcarakan ev tntesagitakan'!I694+'4.Gorcarakan ev tntesagitakan'!I745+'4.Gorcarakan ev tntesagitakan'!I753</f>
        <v>225527.05499999999</v>
      </c>
      <c r="F154" s="22">
        <f>+'4.Gorcarakan ev tntesagitakan'!J551+'4.Gorcarakan ev tntesagitakan'!J562+'4.Gorcarakan ev tntesagitakan'!J566+'4.Gorcarakan ev tntesagitakan'!J572+'4.Gorcarakan ev tntesagitakan'!J615+'4.Gorcarakan ev tntesagitakan'!J617+'4.Gorcarakan ev tntesagitakan'!J636+'4.Gorcarakan ev tntesagitakan'!J694+'4.Gorcarakan ev tntesagitakan'!J745+'4.Gorcarakan ev tntesagitakan'!J753</f>
        <v>0</v>
      </c>
      <c r="G154" s="22">
        <f>+'4.Gorcarakan ev tntesagitakan'!K551+'4.Gorcarakan ev tntesagitakan'!K562+'4.Gorcarakan ev tntesagitakan'!K566+'4.Gorcarakan ev tntesagitakan'!K572+'4.Gorcarakan ev tntesagitakan'!K615+'4.Gorcarakan ev tntesagitakan'!K617+'4.Gorcarakan ev tntesagitakan'!K636+'4.Gorcarakan ev tntesagitakan'!K694+'4.Gorcarakan ev tntesagitakan'!K745+'4.Gorcarakan ev tntesagitakan'!K753</f>
        <v>57419.489285713847</v>
      </c>
      <c r="H154" s="22">
        <f>+'4.Gorcarakan ev tntesagitakan'!L551+'4.Gorcarakan ev tntesagitakan'!L562+'4.Gorcarakan ev tntesagitakan'!L566+'4.Gorcarakan ev tntesagitakan'!L572+'4.Gorcarakan ev tntesagitakan'!L615+'4.Gorcarakan ev tntesagitakan'!L617+'4.Gorcarakan ev tntesagitakan'!L636+'4.Gorcarakan ev tntesagitakan'!L694+'4.Gorcarakan ev tntesagitakan'!L745+'4.Gorcarakan ev tntesagitakan'!L753</f>
        <v>107198.5283928564</v>
      </c>
      <c r="I154" s="22">
        <f>+'4.Gorcarakan ev tntesagitakan'!M551+'4.Gorcarakan ev tntesagitakan'!M562+'4.Gorcarakan ev tntesagitakan'!M566+'4.Gorcarakan ev tntesagitakan'!M572+'4.Gorcarakan ev tntesagitakan'!M615+'4.Gorcarakan ev tntesagitakan'!M617+'4.Gorcarakan ev tntesagitakan'!M636+'4.Gorcarakan ev tntesagitakan'!M694+'4.Gorcarakan ev tntesagitakan'!M745+'4.Gorcarakan ev tntesagitakan'!M753</f>
        <v>169216.54676587306</v>
      </c>
      <c r="J154" s="22">
        <f>+'4.Gorcarakan ev tntesagitakan'!N551+'4.Gorcarakan ev tntesagitakan'!N562+'4.Gorcarakan ev tntesagitakan'!N566+'4.Gorcarakan ev tntesagitakan'!N572+'4.Gorcarakan ev tntesagitakan'!N615+'4.Gorcarakan ev tntesagitakan'!N617+'4.Gorcarakan ev tntesagitakan'!N636+'4.Gorcarakan ev tntesagitakan'!N694+'4.Gorcarakan ev tntesagitakan'!N745+'4.Gorcarakan ev tntesagitakan'!N753</f>
        <v>225527.05499999999</v>
      </c>
      <c r="K154" s="35"/>
      <c r="L154" s="20"/>
      <c r="M154" s="165"/>
    </row>
    <row r="155" spans="1:13" ht="61.5" customHeight="1">
      <c r="A155" s="53">
        <v>4720</v>
      </c>
      <c r="B155" s="10" t="s">
        <v>476</v>
      </c>
      <c r="C155" s="56" t="s">
        <v>19</v>
      </c>
      <c r="D155" s="22">
        <f>SUM(D157:D160)</f>
        <v>90546</v>
      </c>
      <c r="E155" s="22">
        <f>SUM(E157:E160)</f>
        <v>90546</v>
      </c>
      <c r="F155" s="22" t="s">
        <v>1</v>
      </c>
      <c r="G155" s="22">
        <f>SUM(G157:G160)</f>
        <v>9047.4285714285725</v>
      </c>
      <c r="H155" s="22">
        <f>SUM(H157:H160)</f>
        <v>17893.880952380954</v>
      </c>
      <c r="I155" s="22">
        <f>SUM(I157:I160)</f>
        <v>81465.452380952425</v>
      </c>
      <c r="J155" s="22">
        <f>SUM(J157:J160)</f>
        <v>90546</v>
      </c>
      <c r="K155" s="35"/>
      <c r="L155" s="20"/>
      <c r="M155" s="165"/>
    </row>
    <row r="156" spans="1:13">
      <c r="A156" s="53"/>
      <c r="B156" s="12" t="s">
        <v>156</v>
      </c>
      <c r="C156" s="56"/>
      <c r="D156" s="22"/>
      <c r="E156" s="22"/>
      <c r="F156" s="22"/>
      <c r="G156" s="22"/>
      <c r="H156" s="22"/>
      <c r="I156" s="22"/>
      <c r="J156" s="22"/>
      <c r="K156" s="35"/>
      <c r="L156" s="20"/>
      <c r="M156" s="165"/>
    </row>
    <row r="157" spans="1:13">
      <c r="A157" s="53">
        <v>4721</v>
      </c>
      <c r="B157" s="10" t="s">
        <v>477</v>
      </c>
      <c r="C157" s="56" t="s">
        <v>81</v>
      </c>
      <c r="D157" s="22"/>
      <c r="E157" s="22"/>
      <c r="F157" s="22" t="s">
        <v>1</v>
      </c>
      <c r="G157" s="22"/>
      <c r="H157" s="22"/>
      <c r="I157" s="22"/>
      <c r="J157" s="22"/>
      <c r="K157" s="35"/>
      <c r="L157" s="20"/>
      <c r="M157" s="165"/>
    </row>
    <row r="158" spans="1:13">
      <c r="A158" s="53">
        <v>4722</v>
      </c>
      <c r="B158" s="10" t="s">
        <v>478</v>
      </c>
      <c r="C158" s="56" t="s">
        <v>82</v>
      </c>
      <c r="D158" s="22">
        <f>+'4.Gorcarakan ev tntesagitakan'!H41+'4.Gorcarakan ev tntesagitakan'!H106+'4.Gorcarakan ev tntesagitakan'!H363</f>
        <v>90546</v>
      </c>
      <c r="E158" s="22">
        <f>+'4.Gorcarakan ev tntesagitakan'!I41+'4.Gorcarakan ev tntesagitakan'!I106+'4.Gorcarakan ev tntesagitakan'!I363</f>
        <v>90546</v>
      </c>
      <c r="F158" s="22">
        <f>+'4.Gorcarakan ev tntesagitakan'!J106+'4.Gorcarakan ev tntesagitakan'!J41</f>
        <v>0</v>
      </c>
      <c r="G158" s="22">
        <f>+'4.Gorcarakan ev tntesagitakan'!K41+'4.Gorcarakan ev tntesagitakan'!K106+'4.Gorcarakan ev tntesagitakan'!K363</f>
        <v>9047.4285714285725</v>
      </c>
      <c r="H158" s="22">
        <f>+'4.Gorcarakan ev tntesagitakan'!L41+'4.Gorcarakan ev tntesagitakan'!L106+'4.Gorcarakan ev tntesagitakan'!L363</f>
        <v>17893.880952380954</v>
      </c>
      <c r="I158" s="22">
        <f>+'4.Gorcarakan ev tntesagitakan'!M41+'4.Gorcarakan ev tntesagitakan'!M106+'4.Gorcarakan ev tntesagitakan'!M363</f>
        <v>81465.452380952425</v>
      </c>
      <c r="J158" s="22">
        <f>+'4.Gorcarakan ev tntesagitakan'!N41+'4.Gorcarakan ev tntesagitakan'!N106+'4.Gorcarakan ev tntesagitakan'!N363</f>
        <v>90546</v>
      </c>
      <c r="K158" s="35"/>
      <c r="L158" s="20"/>
      <c r="M158" s="165"/>
    </row>
    <row r="159" spans="1:13">
      <c r="A159" s="53">
        <v>4723</v>
      </c>
      <c r="B159" s="10" t="s">
        <v>479</v>
      </c>
      <c r="C159" s="7">
        <v>4822</v>
      </c>
      <c r="D159" s="22"/>
      <c r="E159" s="22"/>
      <c r="F159" s="22" t="s">
        <v>1</v>
      </c>
      <c r="G159" s="22"/>
      <c r="H159" s="22"/>
      <c r="I159" s="22"/>
      <c r="J159" s="22"/>
      <c r="K159" s="35"/>
      <c r="L159" s="20"/>
      <c r="M159" s="165"/>
    </row>
    <row r="160" spans="1:13" ht="27">
      <c r="A160" s="53">
        <v>4724</v>
      </c>
      <c r="B160" s="10" t="s">
        <v>480</v>
      </c>
      <c r="C160" s="56" t="s">
        <v>83</v>
      </c>
      <c r="D160" s="22"/>
      <c r="E160" s="22"/>
      <c r="F160" s="22" t="s">
        <v>1</v>
      </c>
      <c r="G160" s="22"/>
      <c r="H160" s="22"/>
      <c r="I160" s="22"/>
      <c r="J160" s="22"/>
      <c r="K160" s="35"/>
      <c r="L160" s="20"/>
      <c r="M160" s="165"/>
    </row>
    <row r="161" spans="1:13" ht="27">
      <c r="A161" s="53">
        <v>4730</v>
      </c>
      <c r="B161" s="10" t="s">
        <v>481</v>
      </c>
      <c r="C161" s="56" t="s">
        <v>19</v>
      </c>
      <c r="D161" s="22">
        <f>SUM(D163)</f>
        <v>0</v>
      </c>
      <c r="E161" s="22">
        <f>SUM(E163)</f>
        <v>0</v>
      </c>
      <c r="F161" s="22" t="s">
        <v>1</v>
      </c>
      <c r="G161" s="22">
        <f>SUM(G163)</f>
        <v>0</v>
      </c>
      <c r="H161" s="22">
        <f>SUM(H163)</f>
        <v>0</v>
      </c>
      <c r="I161" s="22">
        <f>SUM(I163)</f>
        <v>0</v>
      </c>
      <c r="J161" s="22">
        <f>SUM(J163)</f>
        <v>0</v>
      </c>
      <c r="K161" s="35"/>
      <c r="L161" s="20"/>
      <c r="M161" s="165"/>
    </row>
    <row r="162" spans="1:13">
      <c r="A162" s="53"/>
      <c r="B162" s="12" t="s">
        <v>156</v>
      </c>
      <c r="C162" s="56"/>
      <c r="D162" s="22"/>
      <c r="E162" s="22"/>
      <c r="F162" s="22"/>
      <c r="G162" s="22"/>
      <c r="H162" s="22"/>
      <c r="I162" s="22"/>
      <c r="J162" s="22"/>
      <c r="K162" s="35"/>
      <c r="L162" s="20"/>
      <c r="M162" s="165"/>
    </row>
    <row r="163" spans="1:13" ht="27">
      <c r="A163" s="53">
        <v>4731</v>
      </c>
      <c r="B163" s="10" t="s">
        <v>482</v>
      </c>
      <c r="C163" s="56" t="s">
        <v>84</v>
      </c>
      <c r="D163" s="22"/>
      <c r="E163" s="22"/>
      <c r="F163" s="22" t="s">
        <v>1</v>
      </c>
      <c r="G163" s="22"/>
      <c r="H163" s="22"/>
      <c r="I163" s="22"/>
      <c r="J163" s="22"/>
      <c r="K163" s="35"/>
      <c r="L163" s="20"/>
      <c r="M163" s="165"/>
    </row>
    <row r="164" spans="1:13" ht="40.5">
      <c r="A164" s="53">
        <v>4740</v>
      </c>
      <c r="B164" s="10" t="s">
        <v>483</v>
      </c>
      <c r="C164" s="56" t="s">
        <v>19</v>
      </c>
      <c r="D164" s="22">
        <f>SUM(D166:D167)</f>
        <v>0</v>
      </c>
      <c r="E164" s="22">
        <f>SUM(E166:E167)</f>
        <v>0</v>
      </c>
      <c r="F164" s="22" t="s">
        <v>1</v>
      </c>
      <c r="G164" s="22">
        <f>SUM(G166:G167)</f>
        <v>0</v>
      </c>
      <c r="H164" s="22">
        <f>SUM(H166:H167)</f>
        <v>0</v>
      </c>
      <c r="I164" s="22">
        <f>SUM(I166:I167)</f>
        <v>0</v>
      </c>
      <c r="J164" s="22">
        <f>SUM(J166:J167)</f>
        <v>0</v>
      </c>
      <c r="K164" s="35"/>
      <c r="L164" s="20"/>
      <c r="M164" s="165"/>
    </row>
    <row r="165" spans="1:13">
      <c r="A165" s="53"/>
      <c r="B165" s="12" t="s">
        <v>156</v>
      </c>
      <c r="C165" s="56"/>
      <c r="D165" s="22"/>
      <c r="E165" s="22"/>
      <c r="F165" s="22"/>
      <c r="G165" s="22"/>
      <c r="H165" s="22"/>
      <c r="I165" s="22"/>
      <c r="J165" s="22"/>
      <c r="K165" s="35"/>
      <c r="L165" s="20"/>
      <c r="M165" s="165"/>
    </row>
    <row r="166" spans="1:13" ht="27">
      <c r="A166" s="53">
        <v>4741</v>
      </c>
      <c r="B166" s="10" t="s">
        <v>484</v>
      </c>
      <c r="C166" s="56" t="s">
        <v>85</v>
      </c>
      <c r="D166" s="22"/>
      <c r="E166" s="22"/>
      <c r="F166" s="22" t="s">
        <v>1</v>
      </c>
      <c r="G166" s="22"/>
      <c r="H166" s="22"/>
      <c r="I166" s="22"/>
      <c r="J166" s="22"/>
      <c r="K166" s="35"/>
      <c r="L166" s="20"/>
      <c r="M166" s="165"/>
    </row>
    <row r="167" spans="1:13" ht="27">
      <c r="A167" s="53">
        <v>4742</v>
      </c>
      <c r="B167" s="10" t="s">
        <v>485</v>
      </c>
      <c r="C167" s="56" t="s">
        <v>86</v>
      </c>
      <c r="D167" s="22"/>
      <c r="E167" s="22"/>
      <c r="F167" s="22" t="s">
        <v>1</v>
      </c>
      <c r="G167" s="22"/>
      <c r="H167" s="22"/>
      <c r="I167" s="22"/>
      <c r="J167" s="22"/>
      <c r="K167" s="35"/>
      <c r="L167" s="20"/>
      <c r="M167" s="165"/>
    </row>
    <row r="168" spans="1:13" ht="40.5">
      <c r="A168" s="53">
        <v>4750</v>
      </c>
      <c r="B168" s="10" t="s">
        <v>486</v>
      </c>
      <c r="C168" s="56" t="s">
        <v>19</v>
      </c>
      <c r="D168" s="22">
        <f>SUM(D170)</f>
        <v>0</v>
      </c>
      <c r="E168" s="22">
        <f>SUM(E170)</f>
        <v>0</v>
      </c>
      <c r="F168" s="22" t="s">
        <v>1</v>
      </c>
      <c r="G168" s="22">
        <f>SUM(G170)</f>
        <v>0</v>
      </c>
      <c r="H168" s="22">
        <f>SUM(H170)</f>
        <v>0</v>
      </c>
      <c r="I168" s="22">
        <f>SUM(I170)</f>
        <v>0</v>
      </c>
      <c r="J168" s="22">
        <f>SUM(J170)</f>
        <v>0</v>
      </c>
      <c r="K168" s="35"/>
      <c r="L168" s="20"/>
      <c r="M168" s="165"/>
    </row>
    <row r="169" spans="1:13">
      <c r="A169" s="53"/>
      <c r="B169" s="12" t="s">
        <v>156</v>
      </c>
      <c r="C169" s="56"/>
      <c r="D169" s="22"/>
      <c r="E169" s="22"/>
      <c r="F169" s="22"/>
      <c r="G169" s="22"/>
      <c r="H169" s="22"/>
      <c r="I169" s="22"/>
      <c r="J169" s="22"/>
      <c r="K169" s="35"/>
      <c r="L169" s="20"/>
      <c r="M169" s="165"/>
    </row>
    <row r="170" spans="1:13" ht="40.5">
      <c r="A170" s="53">
        <v>4751</v>
      </c>
      <c r="B170" s="10" t="s">
        <v>487</v>
      </c>
      <c r="C170" s="56" t="s">
        <v>87</v>
      </c>
      <c r="D170" s="22">
        <f>SUM(E170:F170)</f>
        <v>0</v>
      </c>
      <c r="E170" s="22"/>
      <c r="F170" s="22" t="s">
        <v>1</v>
      </c>
      <c r="G170" s="22">
        <f>+D170/4</f>
        <v>0</v>
      </c>
      <c r="H170" s="22">
        <f>+D170/4*2</f>
        <v>0</v>
      </c>
      <c r="I170" s="22">
        <f>+D170/4*3</f>
        <v>0</v>
      </c>
      <c r="J170" s="22">
        <f>+D170</f>
        <v>0</v>
      </c>
      <c r="K170" s="35"/>
      <c r="L170" s="20"/>
      <c r="M170" s="165"/>
    </row>
    <row r="171" spans="1:13">
      <c r="A171" s="53">
        <v>4760</v>
      </c>
      <c r="B171" s="10" t="s">
        <v>488</v>
      </c>
      <c r="C171" s="56" t="s">
        <v>19</v>
      </c>
      <c r="D171" s="22">
        <f>SUM(D173)</f>
        <v>39201.24</v>
      </c>
      <c r="E171" s="22">
        <f>SUM(E173)</f>
        <v>39201.24</v>
      </c>
      <c r="F171" s="22" t="s">
        <v>1</v>
      </c>
      <c r="G171" s="22">
        <f>SUM(G173)</f>
        <v>11534.868571428573</v>
      </c>
      <c r="H171" s="22">
        <f>SUM(H173)</f>
        <v>21024.057619047617</v>
      </c>
      <c r="I171" s="22">
        <f>SUM(I173)</f>
        <v>31291.049047619046</v>
      </c>
      <c r="J171" s="22">
        <f>SUM(J173)</f>
        <v>39201.24</v>
      </c>
      <c r="K171" s="35"/>
      <c r="L171" s="20"/>
      <c r="M171" s="165"/>
    </row>
    <row r="172" spans="1:13">
      <c r="A172" s="53"/>
      <c r="B172" s="12" t="s">
        <v>156</v>
      </c>
      <c r="C172" s="56"/>
      <c r="D172" s="22"/>
      <c r="E172" s="22"/>
      <c r="F172" s="22"/>
      <c r="G172" s="22"/>
      <c r="H172" s="22"/>
      <c r="I172" s="22"/>
      <c r="J172" s="22"/>
      <c r="K172" s="35"/>
      <c r="L172" s="20"/>
      <c r="M172" s="165"/>
    </row>
    <row r="173" spans="1:13">
      <c r="A173" s="53">
        <v>4761</v>
      </c>
      <c r="B173" s="10" t="s">
        <v>489</v>
      </c>
      <c r="C173" s="56" t="s">
        <v>88</v>
      </c>
      <c r="D173" s="22">
        <f>+'4.Gorcarakan ev tntesagitakan'!H42+'4.Gorcarakan ev tntesagitakan'!H113+'4.Gorcarakan ev tntesagitakan'!H552+'4.Gorcarakan ev tntesagitakan'!H635</f>
        <v>39201.24</v>
      </c>
      <c r="E173" s="22">
        <f>+'4.Gorcarakan ev tntesagitakan'!I42+'4.Gorcarakan ev tntesagitakan'!I113+'4.Gorcarakan ev tntesagitakan'!I552+'4.Gorcarakan ev tntesagitakan'!I635</f>
        <v>39201.24</v>
      </c>
      <c r="F173" s="22" t="s">
        <v>1</v>
      </c>
      <c r="G173" s="22">
        <f>+'4.Gorcarakan ev tntesagitakan'!K42+'4.Gorcarakan ev tntesagitakan'!K113+'4.Gorcarakan ev tntesagitakan'!K552+'4.Gorcarakan ev tntesagitakan'!K635</f>
        <v>11534.868571428573</v>
      </c>
      <c r="H173" s="22">
        <f>+'4.Gorcarakan ev tntesagitakan'!L42+'4.Gorcarakan ev tntesagitakan'!L113+'4.Gorcarakan ev tntesagitakan'!L552+'4.Gorcarakan ev tntesagitakan'!L635</f>
        <v>21024.057619047617</v>
      </c>
      <c r="I173" s="22">
        <f>+'4.Gorcarakan ev tntesagitakan'!M42+'4.Gorcarakan ev tntesagitakan'!M113+'4.Gorcarakan ev tntesagitakan'!M552+'4.Gorcarakan ev tntesagitakan'!M635</f>
        <v>31291.049047619046</v>
      </c>
      <c r="J173" s="22">
        <f>+'4.Gorcarakan ev tntesagitakan'!N42+'4.Gorcarakan ev tntesagitakan'!N113+'4.Gorcarakan ev tntesagitakan'!N552+'4.Gorcarakan ev tntesagitakan'!N635</f>
        <v>39201.24</v>
      </c>
      <c r="K173" s="35"/>
      <c r="L173" s="20"/>
      <c r="M173" s="165"/>
    </row>
    <row r="174" spans="1:13">
      <c r="A174" s="53">
        <v>4770</v>
      </c>
      <c r="B174" s="10" t="s">
        <v>490</v>
      </c>
      <c r="C174" s="56" t="s">
        <v>19</v>
      </c>
      <c r="D174" s="22">
        <f t="shared" ref="D174:J174" si="7">SUM(D176)</f>
        <v>0</v>
      </c>
      <c r="E174" s="22">
        <f t="shared" si="7"/>
        <v>925983</v>
      </c>
      <c r="F174" s="22">
        <f t="shared" si="7"/>
        <v>925983</v>
      </c>
      <c r="G174" s="22">
        <f t="shared" si="7"/>
        <v>345364</v>
      </c>
      <c r="H174" s="22">
        <f t="shared" si="7"/>
        <v>532603</v>
      </c>
      <c r="I174" s="22">
        <f t="shared" si="7"/>
        <v>726707</v>
      </c>
      <c r="J174" s="22">
        <f t="shared" si="7"/>
        <v>925983</v>
      </c>
      <c r="K174" s="35"/>
      <c r="L174" s="20"/>
      <c r="M174" s="165"/>
    </row>
    <row r="175" spans="1:13">
      <c r="A175" s="53"/>
      <c r="B175" s="12" t="s">
        <v>156</v>
      </c>
      <c r="C175" s="56"/>
      <c r="D175" s="22"/>
      <c r="E175" s="22"/>
      <c r="F175" s="22"/>
      <c r="G175" s="22"/>
      <c r="H175" s="22"/>
      <c r="I175" s="22"/>
      <c r="J175" s="22"/>
      <c r="K175" s="35"/>
      <c r="L175" s="20"/>
      <c r="M175" s="165"/>
    </row>
    <row r="176" spans="1:13">
      <c r="A176" s="53">
        <v>4771</v>
      </c>
      <c r="B176" s="10" t="s">
        <v>491</v>
      </c>
      <c r="C176" s="56" t="s">
        <v>89</v>
      </c>
      <c r="D176" s="22"/>
      <c r="E176" s="22">
        <f>+'4.Gorcarakan ev tntesagitakan'!I781</f>
        <v>925983</v>
      </c>
      <c r="F176" s="22">
        <f>+'4.Gorcarakan ev tntesagitakan'!J781</f>
        <v>925983</v>
      </c>
      <c r="G176" s="22">
        <f>+'4.Gorcarakan ev tntesagitakan'!K781</f>
        <v>345364</v>
      </c>
      <c r="H176" s="22">
        <f>+'4.Gorcarakan ev tntesagitakan'!L781</f>
        <v>532603</v>
      </c>
      <c r="I176" s="22">
        <f>+'4.Gorcarakan ev tntesagitakan'!M781</f>
        <v>726707</v>
      </c>
      <c r="J176" s="22">
        <f>+'4.Gorcarakan ev tntesagitakan'!N781</f>
        <v>925983</v>
      </c>
      <c r="K176" s="35"/>
      <c r="L176" s="20"/>
      <c r="M176" s="165"/>
    </row>
    <row r="177" spans="1:13" ht="40.5">
      <c r="A177" s="53">
        <v>4772</v>
      </c>
      <c r="B177" s="10" t="s">
        <v>492</v>
      </c>
      <c r="C177" s="56" t="s">
        <v>19</v>
      </c>
      <c r="D177" s="22">
        <f>SUM(E177:F177)</f>
        <v>0</v>
      </c>
      <c r="E177" s="22">
        <v>0</v>
      </c>
      <c r="F177" s="22" t="s">
        <v>0</v>
      </c>
      <c r="G177" s="22">
        <f>+D177/4</f>
        <v>0</v>
      </c>
      <c r="H177" s="22">
        <f>+D177/4*2</f>
        <v>0</v>
      </c>
      <c r="I177" s="22">
        <f>+D177/4*3</f>
        <v>0</v>
      </c>
      <c r="J177" s="22">
        <f>+D177</f>
        <v>0</v>
      </c>
      <c r="K177" s="35"/>
      <c r="L177" s="20"/>
      <c r="M177" s="165"/>
    </row>
    <row r="178" spans="1:13" s="18" customFormat="1" ht="51.75">
      <c r="A178" s="53">
        <v>5000</v>
      </c>
      <c r="B178" s="11" t="s">
        <v>493</v>
      </c>
      <c r="C178" s="56" t="s">
        <v>19</v>
      </c>
      <c r="D178" s="22">
        <f>SUM(D180,D198,D204,D207)</f>
        <v>4201499.1077999985</v>
      </c>
      <c r="E178" s="22" t="s">
        <v>640</v>
      </c>
      <c r="F178" s="22">
        <f>SUM(F180,F198,F204,F207)</f>
        <v>4201499.1077999985</v>
      </c>
      <c r="G178" s="22">
        <f>SUM(G180,G198,G204,G207)</f>
        <v>2973261.0601809518</v>
      </c>
      <c r="H178" s="22">
        <f>SUM(H180,H198,H204,H207)</f>
        <v>3308523.0069337408</v>
      </c>
      <c r="I178" s="22">
        <f>SUM(I180,I198,I204,I207)</f>
        <v>3733412.2288317471</v>
      </c>
      <c r="J178" s="22">
        <f>SUM(J180,J198,J204,J207)</f>
        <v>4201499.1077999985</v>
      </c>
      <c r="K178" s="35"/>
      <c r="L178" s="20"/>
      <c r="M178" s="165"/>
    </row>
    <row r="179" spans="1:13">
      <c r="A179" s="53"/>
      <c r="B179" s="12" t="s">
        <v>375</v>
      </c>
      <c r="C179" s="54"/>
      <c r="D179" s="22"/>
      <c r="E179" s="22"/>
      <c r="F179" s="22"/>
      <c r="G179" s="22"/>
      <c r="H179" s="22"/>
      <c r="I179" s="22"/>
      <c r="J179" s="22"/>
      <c r="K179" s="35"/>
      <c r="L179" s="20"/>
      <c r="M179" s="165"/>
    </row>
    <row r="180" spans="1:13" ht="27">
      <c r="A180" s="53">
        <v>5100</v>
      </c>
      <c r="B180" s="10" t="s">
        <v>494</v>
      </c>
      <c r="C180" s="56" t="s">
        <v>19</v>
      </c>
      <c r="D180" s="22">
        <f>SUM(D182,D187,D192)</f>
        <v>4201499.1077999985</v>
      </c>
      <c r="E180" s="22" t="s">
        <v>1</v>
      </c>
      <c r="F180" s="22">
        <f>SUM(F182,F187,F192)</f>
        <v>4201499.1077999985</v>
      </c>
      <c r="G180" s="22">
        <f>SUM(G182,G187,G192)</f>
        <v>2973261.0601809518</v>
      </c>
      <c r="H180" s="22">
        <f>SUM(H182,H187,H192)</f>
        <v>3308523.0069337408</v>
      </c>
      <c r="I180" s="22">
        <f>SUM(I182,I187,I192)</f>
        <v>3733412.2288317471</v>
      </c>
      <c r="J180" s="22">
        <f>SUM(J182,J187,J192)</f>
        <v>4201499.1077999985</v>
      </c>
      <c r="K180" s="35"/>
      <c r="L180" s="20"/>
      <c r="M180" s="165"/>
    </row>
    <row r="181" spans="1:13">
      <c r="A181" s="53"/>
      <c r="B181" s="12" t="s">
        <v>375</v>
      </c>
      <c r="C181" s="54"/>
      <c r="D181" s="22"/>
      <c r="E181" s="22"/>
      <c r="F181" s="22"/>
      <c r="G181" s="22"/>
      <c r="H181" s="22"/>
      <c r="I181" s="22"/>
      <c r="J181" s="22"/>
      <c r="K181" s="35"/>
      <c r="L181" s="20"/>
      <c r="M181" s="165"/>
    </row>
    <row r="182" spans="1:13" ht="27">
      <c r="A182" s="53">
        <v>5110</v>
      </c>
      <c r="B182" s="10" t="s">
        <v>495</v>
      </c>
      <c r="C182" s="56" t="s">
        <v>19</v>
      </c>
      <c r="D182" s="22">
        <f>SUM(D184:D186)</f>
        <v>3653163.2367999987</v>
      </c>
      <c r="E182" s="22" t="s">
        <v>0</v>
      </c>
      <c r="F182" s="22">
        <f>SUM(F184:F186)</f>
        <v>3653163.2367999987</v>
      </c>
      <c r="G182" s="22">
        <f>SUM(G184:G186)</f>
        <v>2872095.2287999997</v>
      </c>
      <c r="H182" s="22">
        <f>SUM(H184:H186)</f>
        <v>3118019.4147154866</v>
      </c>
      <c r="I182" s="22">
        <f>SUM(I184:I186)</f>
        <v>3316775.585875398</v>
      </c>
      <c r="J182" s="22">
        <f>SUM(J184:J186)</f>
        <v>3653163.2367999987</v>
      </c>
      <c r="K182" s="35"/>
      <c r="L182" s="20"/>
      <c r="M182" s="165"/>
    </row>
    <row r="183" spans="1:13">
      <c r="A183" s="53"/>
      <c r="B183" s="12" t="s">
        <v>156</v>
      </c>
      <c r="C183" s="56"/>
      <c r="D183" s="22"/>
      <c r="E183" s="22"/>
      <c r="F183" s="22"/>
      <c r="G183" s="22"/>
      <c r="H183" s="22"/>
      <c r="I183" s="22"/>
      <c r="J183" s="22"/>
      <c r="K183" s="35"/>
      <c r="L183" s="20"/>
      <c r="M183" s="165"/>
    </row>
    <row r="184" spans="1:13">
      <c r="A184" s="53">
        <v>5111</v>
      </c>
      <c r="B184" s="10" t="s">
        <v>496</v>
      </c>
      <c r="C184" s="58" t="s">
        <v>90</v>
      </c>
      <c r="D184" s="22">
        <f>+'4.Gorcarakan ev tntesagitakan'!H43+'4.Gorcarakan ev tntesagitakan'!H744</f>
        <v>0</v>
      </c>
      <c r="E184" s="22" t="s">
        <v>0</v>
      </c>
      <c r="F184" s="22">
        <f>+'4.Gorcarakan ev tntesagitakan'!J43+'4.Gorcarakan ev tntesagitakan'!J744</f>
        <v>0</v>
      </c>
      <c r="G184" s="22"/>
      <c r="H184" s="22"/>
      <c r="I184" s="22"/>
      <c r="J184" s="22"/>
      <c r="K184" s="35"/>
      <c r="L184" s="20"/>
      <c r="M184" s="165"/>
    </row>
    <row r="185" spans="1:13">
      <c r="A185" s="53">
        <v>5112</v>
      </c>
      <c r="B185" s="10" t="s">
        <v>497</v>
      </c>
      <c r="C185" s="58" t="s">
        <v>91</v>
      </c>
      <c r="D185" s="22">
        <f>+'4.Gorcarakan ev tntesagitakan'!H439+'4.Gorcarakan ev tntesagitakan'!H462+'4.Gorcarakan ev tntesagitakan'!H594</f>
        <v>22000</v>
      </c>
      <c r="E185" s="22" t="s">
        <v>0</v>
      </c>
      <c r="F185" s="22">
        <f>+'4.Gorcarakan ev tntesagitakan'!J439+'4.Gorcarakan ev tntesagitakan'!J462+'4.Gorcarakan ev tntesagitakan'!J594</f>
        <v>22000</v>
      </c>
      <c r="G185" s="22">
        <f>+'4.Gorcarakan ev tntesagitakan'!K439+'4.Gorcarakan ev tntesagitakan'!K462+'4.Gorcarakan ev tntesagitakan'!K594</f>
        <v>5238.0952380952385</v>
      </c>
      <c r="H185" s="22">
        <f>+'4.Gorcarakan ev tntesagitakan'!L439+'4.Gorcarakan ev tntesagitakan'!L462+'4.Gorcarakan ev tntesagitakan'!L594</f>
        <v>10563.492063492065</v>
      </c>
      <c r="I185" s="22">
        <f>+'4.Gorcarakan ev tntesagitakan'!M439+'4.Gorcarakan ev tntesagitakan'!M462+'4.Gorcarakan ev tntesagitakan'!M594</f>
        <v>16484.126984126982</v>
      </c>
      <c r="J185" s="22">
        <f>+'4.Gorcarakan ev tntesagitakan'!N439+'4.Gorcarakan ev tntesagitakan'!N462+'4.Gorcarakan ev tntesagitakan'!N594</f>
        <v>22000</v>
      </c>
      <c r="K185" s="35"/>
      <c r="L185" s="20"/>
      <c r="M185" s="165"/>
    </row>
    <row r="186" spans="1:13">
      <c r="A186" s="53">
        <v>5113</v>
      </c>
      <c r="B186" s="10" t="s">
        <v>173</v>
      </c>
      <c r="C186" s="58" t="s">
        <v>92</v>
      </c>
      <c r="D186" s="22">
        <f>+'4.Gorcarakan ev tntesagitakan'!H44+'4.Gorcarakan ev tntesagitakan'!H286+'4.Gorcarakan ev tntesagitakan'!H406+'4.Gorcarakan ev tntesagitakan'!H461+'4.Gorcarakan ev tntesagitakan'!H595+'4.Gorcarakan ev tntesagitakan'!H569+'4.Gorcarakan ev tntesagitakan'!H697</f>
        <v>3631163.2367999987</v>
      </c>
      <c r="E186" s="22" t="s">
        <v>0</v>
      </c>
      <c r="F186" s="22">
        <f>+'4.Gorcarakan ev tntesagitakan'!J44+'4.Gorcarakan ev tntesagitakan'!J286+'4.Gorcarakan ev tntesagitakan'!J406+'4.Gorcarakan ev tntesagitakan'!J461+'4.Gorcarakan ev tntesagitakan'!J595+'4.Gorcarakan ev tntesagitakan'!J569+'4.Gorcarakan ev tntesagitakan'!J697</f>
        <v>3631163.2367999987</v>
      </c>
      <c r="G186" s="22">
        <f>+'4.Gorcarakan ev tntesagitakan'!K44+'4.Gorcarakan ev tntesagitakan'!K286+'4.Gorcarakan ev tntesagitakan'!K406+'4.Gorcarakan ev tntesagitakan'!K461+'4.Gorcarakan ev tntesagitakan'!K595+'4.Gorcarakan ev tntesagitakan'!K569+'4.Gorcarakan ev tntesagitakan'!K697</f>
        <v>2866857.1335619045</v>
      </c>
      <c r="H186" s="22">
        <f>+'4.Gorcarakan ev tntesagitakan'!L44+'4.Gorcarakan ev tntesagitakan'!L286+'4.Gorcarakan ev tntesagitakan'!L406+'4.Gorcarakan ev tntesagitakan'!L461+'4.Gorcarakan ev tntesagitakan'!L595+'4.Gorcarakan ev tntesagitakan'!L569+'4.Gorcarakan ev tntesagitakan'!L697</f>
        <v>3107455.9226519945</v>
      </c>
      <c r="I186" s="22">
        <f>+'4.Gorcarakan ev tntesagitakan'!M44+'4.Gorcarakan ev tntesagitakan'!M286+'4.Gorcarakan ev tntesagitakan'!M406+'4.Gorcarakan ev tntesagitakan'!M461+'4.Gorcarakan ev tntesagitakan'!M595+'4.Gorcarakan ev tntesagitakan'!M569+'4.Gorcarakan ev tntesagitakan'!M697</f>
        <v>3300291.4588912711</v>
      </c>
      <c r="J186" s="22">
        <f>+'4.Gorcarakan ev tntesagitakan'!N44+'4.Gorcarakan ev tntesagitakan'!N286+'4.Gorcarakan ev tntesagitakan'!N406+'4.Gorcarakan ev tntesagitakan'!N461+'4.Gorcarakan ev tntesagitakan'!N595+'4.Gorcarakan ev tntesagitakan'!N569+'4.Gorcarakan ev tntesagitakan'!N697</f>
        <v>3631163.2367999987</v>
      </c>
      <c r="K186" s="35"/>
      <c r="L186" s="20"/>
      <c r="M186" s="165"/>
    </row>
    <row r="187" spans="1:13" ht="27">
      <c r="A187" s="53">
        <v>5120</v>
      </c>
      <c r="B187" s="10" t="s">
        <v>498</v>
      </c>
      <c r="C187" s="56" t="s">
        <v>19</v>
      </c>
      <c r="D187" s="22">
        <f>SUM(D189:D191)</f>
        <v>395294.72399999999</v>
      </c>
      <c r="E187" s="22" t="s">
        <v>0</v>
      </c>
      <c r="F187" s="22">
        <f>SUM(F189:F191)</f>
        <v>395294.72399999999</v>
      </c>
      <c r="G187" s="22">
        <f>SUM(G189:G191)</f>
        <v>77090.415428571432</v>
      </c>
      <c r="H187" s="22">
        <f>SUM(H189:H191)</f>
        <v>142231.59504761905</v>
      </c>
      <c r="I187" s="22">
        <f>SUM(I189:I191)</f>
        <v>277712.21561904758</v>
      </c>
      <c r="J187" s="22">
        <f>SUM(J189:J191)</f>
        <v>395294.72399999999</v>
      </c>
      <c r="K187" s="35"/>
      <c r="L187" s="20"/>
      <c r="M187" s="165"/>
    </row>
    <row r="188" spans="1:13">
      <c r="A188" s="53"/>
      <c r="B188" s="10" t="s">
        <v>156</v>
      </c>
      <c r="C188" s="56"/>
      <c r="D188" s="22"/>
      <c r="E188" s="22"/>
      <c r="F188" s="22"/>
      <c r="G188" s="22"/>
      <c r="H188" s="22"/>
      <c r="I188" s="22"/>
      <c r="J188" s="22"/>
      <c r="K188" s="35"/>
      <c r="L188" s="20"/>
      <c r="M188" s="165"/>
    </row>
    <row r="189" spans="1:13">
      <c r="A189" s="53">
        <v>5121</v>
      </c>
      <c r="B189" s="10" t="s">
        <v>499</v>
      </c>
      <c r="C189" s="58" t="s">
        <v>93</v>
      </c>
      <c r="D189" s="22">
        <f>+'4.Gorcarakan ev tntesagitakan'!H45+'4.Gorcarakan ev tntesagitakan'!H287</f>
        <v>222100</v>
      </c>
      <c r="E189" s="22" t="s">
        <v>1</v>
      </c>
      <c r="F189" s="22">
        <f>+'4.Gorcarakan ev tntesagitakan'!J45+'4.Gorcarakan ev tntesagitakan'!J287</f>
        <v>222100</v>
      </c>
      <c r="G189" s="22">
        <f>+'4.Gorcarakan ev tntesagitakan'!K45+'4.Gorcarakan ev tntesagitakan'!K287</f>
        <v>44309.523809523809</v>
      </c>
      <c r="H189" s="22">
        <f>+'4.Gorcarakan ev tntesagitakan'!L45+'4.Gorcarakan ev tntesagitakan'!L287</f>
        <v>89357.539682539689</v>
      </c>
      <c r="I189" s="22">
        <f>+'4.Gorcarakan ev tntesagitakan'!M45+'4.Gorcarakan ev tntesagitakan'!M287</f>
        <v>138098.01587301589</v>
      </c>
      <c r="J189" s="22">
        <f>+'4.Gorcarakan ev tntesagitakan'!N45+'4.Gorcarakan ev tntesagitakan'!N287</f>
        <v>222100</v>
      </c>
      <c r="K189" s="35"/>
      <c r="L189" s="20"/>
      <c r="M189" s="165"/>
    </row>
    <row r="190" spans="1:13">
      <c r="A190" s="53">
        <v>5122</v>
      </c>
      <c r="B190" s="10" t="s">
        <v>500</v>
      </c>
      <c r="C190" s="58" t="s">
        <v>94</v>
      </c>
      <c r="D190" s="22">
        <f>+'4.Gorcarakan ev tntesagitakan'!H46+'4.Gorcarakan ev tntesagitakan'!H370+'4.Gorcarakan ev tntesagitakan'!H463+'4.Gorcarakan ev tntesagitakan'!H563</f>
        <v>44000</v>
      </c>
      <c r="E190" s="22"/>
      <c r="F190" s="22">
        <f>+'4.Gorcarakan ev tntesagitakan'!J46+'4.Gorcarakan ev tntesagitakan'!J370+'4.Gorcarakan ev tntesagitakan'!J463+'4.Gorcarakan ev tntesagitakan'!J563</f>
        <v>44000</v>
      </c>
      <c r="G190" s="22">
        <f>+'4.Gorcarakan ev tntesagitakan'!K46+'4.Gorcarakan ev tntesagitakan'!K370+'4.Gorcarakan ev tntesagitakan'!K463+'4.Gorcarakan ev tntesagitakan'!K563</f>
        <v>2619.0476190476193</v>
      </c>
      <c r="H190" s="22">
        <f>+'4.Gorcarakan ev tntesagitakan'!L46+'4.Gorcarakan ev tntesagitakan'!L370+'4.Gorcarakan ev tntesagitakan'!L463+'4.Gorcarakan ev tntesagitakan'!L563</f>
        <v>5281.7460317460327</v>
      </c>
      <c r="I190" s="22">
        <f>+'4.Gorcarakan ev tntesagitakan'!M46+'4.Gorcarakan ev tntesagitakan'!M370+'4.Gorcarakan ev tntesagitakan'!M463+'4.Gorcarakan ev tntesagitakan'!M563</f>
        <v>43162.698412698388</v>
      </c>
      <c r="J190" s="22">
        <f>+'4.Gorcarakan ev tntesagitakan'!N46+'4.Gorcarakan ev tntesagitakan'!N370+'4.Gorcarakan ev tntesagitakan'!N463+'4.Gorcarakan ev tntesagitakan'!N563</f>
        <v>44000</v>
      </c>
      <c r="K190" s="35"/>
      <c r="L190" s="20"/>
      <c r="M190" s="165"/>
    </row>
    <row r="191" spans="1:13">
      <c r="A191" s="53">
        <v>5123</v>
      </c>
      <c r="B191" s="10" t="s">
        <v>501</v>
      </c>
      <c r="C191" s="58" t="s">
        <v>95</v>
      </c>
      <c r="D191" s="22">
        <f>+'4.Gorcarakan ev tntesagitakan'!H48+'4.Gorcarakan ev tntesagitakan'!H371+'4.Gorcarakan ev tntesagitakan'!H409+'4.Gorcarakan ev tntesagitakan'!H440+'4.Gorcarakan ev tntesagitakan'!H464</f>
        <v>129194.72399999999</v>
      </c>
      <c r="E191" s="22" t="s">
        <v>1</v>
      </c>
      <c r="F191" s="22">
        <f>+'4.Gorcarakan ev tntesagitakan'!J48+'4.Gorcarakan ev tntesagitakan'!J371+'4.Gorcarakan ev tntesagitakan'!J409+'4.Gorcarakan ev tntesagitakan'!J440+'4.Gorcarakan ev tntesagitakan'!J464</f>
        <v>129194.72399999999</v>
      </c>
      <c r="G191" s="22">
        <f>+'4.Gorcarakan ev tntesagitakan'!K48+'4.Gorcarakan ev tntesagitakan'!K371+'4.Gorcarakan ev tntesagitakan'!K409+'4.Gorcarakan ev tntesagitakan'!K440+'4.Gorcarakan ev tntesagitakan'!K464</f>
        <v>30161.844000000001</v>
      </c>
      <c r="H191" s="22">
        <f>+'4.Gorcarakan ev tntesagitakan'!L48+'4.Gorcarakan ev tntesagitakan'!L371+'4.Gorcarakan ev tntesagitakan'!L409+'4.Gorcarakan ev tntesagitakan'!L440+'4.Gorcarakan ev tntesagitakan'!L464</f>
        <v>47592.309333333331</v>
      </c>
      <c r="I191" s="22">
        <f>+'4.Gorcarakan ev tntesagitakan'!M48+'4.Gorcarakan ev tntesagitakan'!M371+'4.Gorcarakan ev tntesagitakan'!M409+'4.Gorcarakan ev tntesagitakan'!M440+'4.Gorcarakan ev tntesagitakan'!M464</f>
        <v>96451.501333333305</v>
      </c>
      <c r="J191" s="22">
        <f>+'4.Gorcarakan ev tntesagitakan'!N48+'4.Gorcarakan ev tntesagitakan'!N371+'4.Gorcarakan ev tntesagitakan'!N409+'4.Gorcarakan ev tntesagitakan'!N440+'4.Gorcarakan ev tntesagitakan'!N464</f>
        <v>129194.72399999999</v>
      </c>
      <c r="K191" s="35"/>
      <c r="L191" s="20"/>
      <c r="M191" s="165"/>
    </row>
    <row r="192" spans="1:13" ht="27">
      <c r="A192" s="53">
        <v>5130</v>
      </c>
      <c r="B192" s="10" t="s">
        <v>502</v>
      </c>
      <c r="C192" s="56" t="s">
        <v>19</v>
      </c>
      <c r="D192" s="22">
        <f>SUM(D194:D197)</f>
        <v>153041.147</v>
      </c>
      <c r="E192" s="22" t="s">
        <v>1</v>
      </c>
      <c r="F192" s="22">
        <f t="shared" ref="F192:J192" si="8">SUM(F194:F197)</f>
        <v>153041.147</v>
      </c>
      <c r="G192" s="22">
        <f t="shared" si="8"/>
        <v>24075.41595238095</v>
      </c>
      <c r="H192" s="22">
        <f t="shared" si="8"/>
        <v>48271.997170634924</v>
      </c>
      <c r="I192" s="22">
        <f t="shared" si="8"/>
        <v>138924.4273373016</v>
      </c>
      <c r="J192" s="22">
        <f t="shared" si="8"/>
        <v>153041.147</v>
      </c>
      <c r="K192" s="35"/>
      <c r="L192" s="20"/>
      <c r="M192" s="165"/>
    </row>
    <row r="193" spans="1:13">
      <c r="A193" s="53"/>
      <c r="B193" s="12" t="s">
        <v>156</v>
      </c>
      <c r="C193" s="56"/>
      <c r="D193" s="22"/>
      <c r="E193" s="22"/>
      <c r="F193" s="22"/>
      <c r="G193" s="22"/>
      <c r="H193" s="22"/>
      <c r="I193" s="22"/>
      <c r="J193" s="22"/>
      <c r="K193" s="35"/>
      <c r="L193" s="20"/>
      <c r="M193" s="165"/>
    </row>
    <row r="194" spans="1:13">
      <c r="A194" s="53">
        <v>5131</v>
      </c>
      <c r="B194" s="10" t="s">
        <v>503</v>
      </c>
      <c r="C194" s="58" t="s">
        <v>96</v>
      </c>
      <c r="D194" s="22">
        <f>'4.Gorcarakan ev tntesagitakan'!H49+'4.Gorcarakan ev tntesagitakan'!H407</f>
        <v>9150</v>
      </c>
      <c r="E194" s="22" t="s">
        <v>1</v>
      </c>
      <c r="F194" s="22">
        <f>'4.Gorcarakan ev tntesagitakan'!J49+'4.Gorcarakan ev tntesagitakan'!J407</f>
        <v>9150</v>
      </c>
      <c r="G194" s="22">
        <f>'4.Gorcarakan ev tntesagitakan'!K49+'4.Gorcarakan ev tntesagitakan'!K407</f>
        <v>1702.3809523809523</v>
      </c>
      <c r="H194" s="22">
        <f>'4.Gorcarakan ev tntesagitakan'!L49+'4.Gorcarakan ev tntesagitakan'!L407</f>
        <v>3433.1349206349205</v>
      </c>
      <c r="I194" s="22">
        <f>'4.Gorcarakan ev tntesagitakan'!M49+'4.Gorcarakan ev tntesagitakan'!M407</f>
        <v>5305.7539682539682</v>
      </c>
      <c r="J194" s="22">
        <f>'4.Gorcarakan ev tntesagitakan'!N49+'4.Gorcarakan ev tntesagitakan'!N407</f>
        <v>9150</v>
      </c>
      <c r="K194" s="35"/>
      <c r="L194" s="20"/>
      <c r="M194" s="165"/>
    </row>
    <row r="195" spans="1:13">
      <c r="A195" s="53">
        <v>5132</v>
      </c>
      <c r="B195" s="10" t="s">
        <v>504</v>
      </c>
      <c r="C195" s="58" t="s">
        <v>97</v>
      </c>
      <c r="D195" s="22"/>
      <c r="E195" s="22" t="s">
        <v>1</v>
      </c>
      <c r="F195" s="22"/>
      <c r="G195" s="22"/>
      <c r="H195" s="22"/>
      <c r="I195" s="22"/>
      <c r="J195" s="22"/>
      <c r="K195" s="35"/>
      <c r="L195" s="20"/>
      <c r="M195" s="165"/>
    </row>
    <row r="196" spans="1:13">
      <c r="A196" s="53">
        <v>5133</v>
      </c>
      <c r="B196" s="10" t="s">
        <v>505</v>
      </c>
      <c r="C196" s="58" t="s">
        <v>98</v>
      </c>
      <c r="D196" s="22"/>
      <c r="E196" s="22" t="s">
        <v>1</v>
      </c>
      <c r="F196" s="22"/>
      <c r="G196" s="22"/>
      <c r="H196" s="22"/>
      <c r="I196" s="22"/>
      <c r="J196" s="22"/>
      <c r="K196" s="35"/>
      <c r="L196" s="20"/>
      <c r="M196" s="165"/>
    </row>
    <row r="197" spans="1:13">
      <c r="A197" s="53">
        <v>5134</v>
      </c>
      <c r="B197" s="10" t="s">
        <v>506</v>
      </c>
      <c r="C197" s="58" t="s">
        <v>99</v>
      </c>
      <c r="D197" s="22">
        <f>'4.Gorcarakan ev tntesagitakan'!H50+'4.Gorcarakan ev tntesagitakan'!H99+'4.Gorcarakan ev tntesagitakan'!H288+'4.Gorcarakan ev tntesagitakan'!H408+'4.Gorcarakan ev tntesagitakan'!H465</f>
        <v>143891.147</v>
      </c>
      <c r="E197" s="22" t="s">
        <v>1</v>
      </c>
      <c r="F197" s="22">
        <f>'4.Gorcarakan ev tntesagitakan'!J50+'4.Gorcarakan ev tntesagitakan'!J99+'4.Gorcarakan ev tntesagitakan'!J288+'4.Gorcarakan ev tntesagitakan'!J408+'4.Gorcarakan ev tntesagitakan'!J465</f>
        <v>143891.147</v>
      </c>
      <c r="G197" s="22">
        <f>'4.Gorcarakan ev tntesagitakan'!K50+'4.Gorcarakan ev tntesagitakan'!K99+'4.Gorcarakan ev tntesagitakan'!K288+'4.Gorcarakan ev tntesagitakan'!K408+'4.Gorcarakan ev tntesagitakan'!K465</f>
        <v>22373.035</v>
      </c>
      <c r="H197" s="22">
        <f>'4.Gorcarakan ev tntesagitakan'!L50+'4.Gorcarakan ev tntesagitakan'!L99+'4.Gorcarakan ev tntesagitakan'!L288+'4.Gorcarakan ev tntesagitakan'!L408+'4.Gorcarakan ev tntesagitakan'!L465</f>
        <v>44838.862250000006</v>
      </c>
      <c r="I197" s="22">
        <f>'4.Gorcarakan ev tntesagitakan'!M50+'4.Gorcarakan ev tntesagitakan'!M99+'4.Gorcarakan ev tntesagitakan'!M288+'4.Gorcarakan ev tntesagitakan'!M408+'4.Gorcarakan ev tntesagitakan'!M465</f>
        <v>133618.67336904764</v>
      </c>
      <c r="J197" s="22">
        <f>'4.Gorcarakan ev tntesagitakan'!N50+'4.Gorcarakan ev tntesagitakan'!N99+'4.Gorcarakan ev tntesagitakan'!N288+'4.Gorcarakan ev tntesagitakan'!N408+'4.Gorcarakan ev tntesagitakan'!N465</f>
        <v>143891.147</v>
      </c>
      <c r="K197" s="35"/>
      <c r="L197" s="20"/>
      <c r="M197" s="165"/>
    </row>
    <row r="198" spans="1:13">
      <c r="A198" s="53">
        <v>5200</v>
      </c>
      <c r="B198" s="10" t="s">
        <v>507</v>
      </c>
      <c r="C198" s="56" t="s">
        <v>19</v>
      </c>
      <c r="D198" s="22">
        <f>SUM(D200:D203)</f>
        <v>0</v>
      </c>
      <c r="E198" s="22" t="s">
        <v>1</v>
      </c>
      <c r="F198" s="22">
        <f>SUM(F200:F203)</f>
        <v>0</v>
      </c>
      <c r="G198" s="22">
        <f>SUM(G200:G203)</f>
        <v>0</v>
      </c>
      <c r="H198" s="22">
        <f>SUM(H200:H203)</f>
        <v>0</v>
      </c>
      <c r="I198" s="22">
        <f>SUM(I200:I203)</f>
        <v>0</v>
      </c>
      <c r="J198" s="22">
        <f>SUM(J200:J203)</f>
        <v>0</v>
      </c>
      <c r="K198" s="35"/>
      <c r="L198" s="20"/>
      <c r="M198" s="165"/>
    </row>
    <row r="199" spans="1:13">
      <c r="A199" s="53"/>
      <c r="B199" s="12" t="s">
        <v>375</v>
      </c>
      <c r="C199" s="54"/>
      <c r="D199" s="22"/>
      <c r="E199" s="22"/>
      <c r="F199" s="22"/>
      <c r="G199" s="22"/>
      <c r="H199" s="22"/>
      <c r="I199" s="22"/>
      <c r="J199" s="22"/>
      <c r="K199" s="35"/>
      <c r="L199" s="20"/>
      <c r="M199" s="165"/>
    </row>
    <row r="200" spans="1:13" ht="27">
      <c r="A200" s="53">
        <v>5211</v>
      </c>
      <c r="B200" s="10" t="s">
        <v>508</v>
      </c>
      <c r="C200" s="58" t="s">
        <v>100</v>
      </c>
      <c r="D200" s="22"/>
      <c r="E200" s="22" t="s">
        <v>1</v>
      </c>
      <c r="F200" s="22"/>
      <c r="G200" s="22">
        <f>+D200/4</f>
        <v>0</v>
      </c>
      <c r="H200" s="22">
        <f>+D200/4*2</f>
        <v>0</v>
      </c>
      <c r="I200" s="22">
        <f>+D200/4*3</f>
        <v>0</v>
      </c>
      <c r="J200" s="22">
        <f>+D200</f>
        <v>0</v>
      </c>
      <c r="K200" s="35"/>
      <c r="L200" s="20"/>
      <c r="M200" s="165"/>
    </row>
    <row r="201" spans="1:13">
      <c r="A201" s="53">
        <v>5221</v>
      </c>
      <c r="B201" s="10" t="s">
        <v>509</v>
      </c>
      <c r="C201" s="58" t="s">
        <v>101</v>
      </c>
      <c r="D201" s="22"/>
      <c r="E201" s="22" t="s">
        <v>1</v>
      </c>
      <c r="F201" s="22"/>
      <c r="G201" s="22">
        <f>+D201/4</f>
        <v>0</v>
      </c>
      <c r="H201" s="22">
        <f>+D201/4*2</f>
        <v>0</v>
      </c>
      <c r="I201" s="22">
        <f>+D201/4*3</f>
        <v>0</v>
      </c>
      <c r="J201" s="22">
        <f>+D201</f>
        <v>0</v>
      </c>
      <c r="K201" s="35"/>
      <c r="L201" s="20"/>
      <c r="M201" s="165"/>
    </row>
    <row r="202" spans="1:13">
      <c r="A202" s="53">
        <v>5231</v>
      </c>
      <c r="B202" s="10" t="s">
        <v>510</v>
      </c>
      <c r="C202" s="58" t="s">
        <v>102</v>
      </c>
      <c r="D202" s="22"/>
      <c r="E202" s="22" t="s">
        <v>1</v>
      </c>
      <c r="F202" s="22"/>
      <c r="G202" s="22">
        <f>+D202/4</f>
        <v>0</v>
      </c>
      <c r="H202" s="22">
        <f>+D202/4*2</f>
        <v>0</v>
      </c>
      <c r="I202" s="22">
        <f>+D202/4*3</f>
        <v>0</v>
      </c>
      <c r="J202" s="22">
        <f>+D202</f>
        <v>0</v>
      </c>
      <c r="K202" s="35"/>
      <c r="L202" s="20"/>
      <c r="M202" s="165"/>
    </row>
    <row r="203" spans="1:13">
      <c r="A203" s="53">
        <v>5241</v>
      </c>
      <c r="B203" s="10" t="s">
        <v>511</v>
      </c>
      <c r="C203" s="58" t="s">
        <v>103</v>
      </c>
      <c r="D203" s="22"/>
      <c r="E203" s="22" t="s">
        <v>1</v>
      </c>
      <c r="F203" s="22"/>
      <c r="G203" s="22">
        <f>+D203/4</f>
        <v>0</v>
      </c>
      <c r="H203" s="22">
        <f>+D203/4*2</f>
        <v>0</v>
      </c>
      <c r="I203" s="22">
        <f>+D203/4*3</f>
        <v>0</v>
      </c>
      <c r="J203" s="22">
        <f>+D203</f>
        <v>0</v>
      </c>
      <c r="K203" s="35"/>
      <c r="L203" s="20"/>
      <c r="M203" s="165"/>
    </row>
    <row r="204" spans="1:13">
      <c r="A204" s="53">
        <v>5300</v>
      </c>
      <c r="B204" s="10" t="s">
        <v>512</v>
      </c>
      <c r="C204" s="56" t="s">
        <v>19</v>
      </c>
      <c r="D204" s="22">
        <f>SUM(D206)</f>
        <v>0</v>
      </c>
      <c r="E204" s="22" t="s">
        <v>1</v>
      </c>
      <c r="F204" s="22">
        <f>SUM(F206)</f>
        <v>0</v>
      </c>
      <c r="G204" s="22">
        <f>SUM(G206)</f>
        <v>0</v>
      </c>
      <c r="H204" s="22">
        <f>SUM(H206)</f>
        <v>0</v>
      </c>
      <c r="I204" s="22">
        <f>SUM(I206)</f>
        <v>0</v>
      </c>
      <c r="J204" s="22">
        <f>SUM(J206)</f>
        <v>0</v>
      </c>
      <c r="K204" s="35"/>
      <c r="L204" s="20"/>
      <c r="M204" s="165"/>
    </row>
    <row r="205" spans="1:13">
      <c r="A205" s="53"/>
      <c r="B205" s="12" t="s">
        <v>375</v>
      </c>
      <c r="C205" s="54"/>
      <c r="D205" s="22"/>
      <c r="E205" s="22"/>
      <c r="F205" s="22"/>
      <c r="G205" s="22"/>
      <c r="H205" s="22"/>
      <c r="I205" s="22"/>
      <c r="J205" s="22"/>
      <c r="K205" s="35"/>
      <c r="L205" s="20"/>
      <c r="M205" s="165"/>
    </row>
    <row r="206" spans="1:13">
      <c r="A206" s="53">
        <v>5311</v>
      </c>
      <c r="B206" s="10" t="s">
        <v>513</v>
      </c>
      <c r="C206" s="58" t="s">
        <v>104</v>
      </c>
      <c r="D206" s="22"/>
      <c r="E206" s="22" t="s">
        <v>1</v>
      </c>
      <c r="F206" s="22"/>
      <c r="G206" s="22">
        <f>+D206/4</f>
        <v>0</v>
      </c>
      <c r="H206" s="22">
        <f>+D206/4*2</f>
        <v>0</v>
      </c>
      <c r="I206" s="22">
        <f>+D206/4*3</f>
        <v>0</v>
      </c>
      <c r="J206" s="22">
        <f>+D206</f>
        <v>0</v>
      </c>
      <c r="K206" s="35"/>
      <c r="L206" s="20"/>
      <c r="M206" s="165"/>
    </row>
    <row r="207" spans="1:13" ht="27">
      <c r="A207" s="53">
        <v>5400</v>
      </c>
      <c r="B207" s="10" t="s">
        <v>514</v>
      </c>
      <c r="C207" s="56" t="s">
        <v>19</v>
      </c>
      <c r="D207" s="22">
        <f>SUM(D209:D212)</f>
        <v>0</v>
      </c>
      <c r="E207" s="22" t="s">
        <v>1</v>
      </c>
      <c r="F207" s="22">
        <f>SUM(F209:F212)</f>
        <v>0</v>
      </c>
      <c r="G207" s="22">
        <f>SUM(G209:G212)</f>
        <v>0</v>
      </c>
      <c r="H207" s="22">
        <f>SUM(H209:H212)</f>
        <v>0</v>
      </c>
      <c r="I207" s="22">
        <f>SUM(I209:I212)</f>
        <v>0</v>
      </c>
      <c r="J207" s="22">
        <f>SUM(J209:J212)</f>
        <v>0</v>
      </c>
      <c r="K207" s="35"/>
      <c r="L207" s="20"/>
      <c r="M207" s="165"/>
    </row>
    <row r="208" spans="1:13">
      <c r="A208" s="53"/>
      <c r="B208" s="12" t="s">
        <v>375</v>
      </c>
      <c r="C208" s="54"/>
      <c r="D208" s="22"/>
      <c r="E208" s="22"/>
      <c r="F208" s="22"/>
      <c r="G208" s="22"/>
      <c r="H208" s="22"/>
      <c r="I208" s="22"/>
      <c r="J208" s="22"/>
      <c r="K208" s="35"/>
      <c r="L208" s="20"/>
      <c r="M208" s="165"/>
    </row>
    <row r="209" spans="1:13">
      <c r="A209" s="53">
        <v>5411</v>
      </c>
      <c r="B209" s="10" t="s">
        <v>515</v>
      </c>
      <c r="C209" s="58" t="s">
        <v>105</v>
      </c>
      <c r="D209" s="22">
        <f>+'4.Gorcarakan ev tntesagitakan'!H591</f>
        <v>0</v>
      </c>
      <c r="E209" s="22" t="s">
        <v>1</v>
      </c>
      <c r="F209" s="22">
        <f>+'4.Gorcarakan ev tntesagitakan'!J591</f>
        <v>0</v>
      </c>
      <c r="G209" s="22">
        <f>+'4.Gorcarakan ev tntesagitakan'!K591</f>
        <v>0</v>
      </c>
      <c r="H209" s="22">
        <f>+'4.Gorcarakan ev tntesagitakan'!L591</f>
        <v>0</v>
      </c>
      <c r="I209" s="22">
        <f>+'4.Gorcarakan ev tntesagitakan'!M591</f>
        <v>0</v>
      </c>
      <c r="J209" s="22">
        <f>+'4.Gorcarakan ev tntesagitakan'!N591</f>
        <v>0</v>
      </c>
      <c r="K209" s="35"/>
      <c r="L209" s="20"/>
      <c r="M209" s="165"/>
    </row>
    <row r="210" spans="1:13">
      <c r="A210" s="53">
        <v>5421</v>
      </c>
      <c r="B210" s="10" t="s">
        <v>516</v>
      </c>
      <c r="C210" s="58" t="s">
        <v>106</v>
      </c>
      <c r="D210" s="22"/>
      <c r="E210" s="22" t="s">
        <v>1</v>
      </c>
      <c r="F210" s="22"/>
      <c r="G210" s="22"/>
      <c r="H210" s="22"/>
      <c r="I210" s="22"/>
      <c r="J210" s="22"/>
      <c r="K210" s="35"/>
      <c r="L210" s="20"/>
      <c r="M210" s="165"/>
    </row>
    <row r="211" spans="1:13">
      <c r="A211" s="53">
        <v>5431</v>
      </c>
      <c r="B211" s="10" t="s">
        <v>517</v>
      </c>
      <c r="C211" s="58" t="s">
        <v>107</v>
      </c>
      <c r="D211" s="22"/>
      <c r="E211" s="22" t="s">
        <v>1</v>
      </c>
      <c r="F211" s="22"/>
      <c r="G211" s="22"/>
      <c r="H211" s="22"/>
      <c r="I211" s="22"/>
      <c r="J211" s="22"/>
      <c r="K211" s="35"/>
      <c r="L211" s="20"/>
      <c r="M211" s="165"/>
    </row>
    <row r="212" spans="1:13">
      <c r="A212" s="53">
        <v>5441</v>
      </c>
      <c r="B212" s="12" t="s">
        <v>518</v>
      </c>
      <c r="C212" s="58" t="s">
        <v>108</v>
      </c>
      <c r="D212" s="22"/>
      <c r="E212" s="22" t="s">
        <v>1</v>
      </c>
      <c r="F212" s="22"/>
      <c r="G212" s="22"/>
      <c r="H212" s="22"/>
      <c r="I212" s="22"/>
      <c r="J212" s="22"/>
      <c r="K212" s="35"/>
      <c r="L212" s="20"/>
      <c r="M212" s="165"/>
    </row>
    <row r="213" spans="1:13" s="221" customFormat="1" ht="57" customHeight="1">
      <c r="A213" s="59" t="s">
        <v>109</v>
      </c>
      <c r="B213" s="69" t="s">
        <v>519</v>
      </c>
      <c r="C213" s="59" t="s">
        <v>19</v>
      </c>
      <c r="D213" s="22">
        <f>SUM(D215,D220,D228,D231)</f>
        <v>-850000</v>
      </c>
      <c r="E213" s="22"/>
      <c r="F213" s="22">
        <f>SUM(F215,F220,F228,F231)</f>
        <v>-850000</v>
      </c>
      <c r="G213" s="22">
        <f>SUM(G215,G220,G228,G231)</f>
        <v>-202380.95238095237</v>
      </c>
      <c r="H213" s="22">
        <f>SUM(H215,H220,H228,H231)</f>
        <v>-350403.89913374081</v>
      </c>
      <c r="I213" s="22">
        <f>SUM(I215,I220,I228,I231)</f>
        <v>-581189.12103174627</v>
      </c>
      <c r="J213" s="22">
        <f>SUM(J215,J220,J228,J231)</f>
        <v>-850000</v>
      </c>
      <c r="K213" s="35"/>
      <c r="L213" s="20"/>
      <c r="M213" s="165"/>
    </row>
    <row r="214" spans="1:13" s="221" customFormat="1" ht="44.25" customHeight="1">
      <c r="A214" s="59"/>
      <c r="B214" s="15" t="s">
        <v>154</v>
      </c>
      <c r="C214" s="59"/>
      <c r="D214" s="22"/>
      <c r="E214" s="22"/>
      <c r="F214" s="22"/>
      <c r="G214" s="22"/>
      <c r="H214" s="22"/>
      <c r="I214" s="22"/>
      <c r="J214" s="22"/>
      <c r="K214" s="35"/>
      <c r="L214" s="20"/>
      <c r="M214" s="165"/>
    </row>
    <row r="215" spans="1:13" ht="33">
      <c r="A215" s="60" t="s">
        <v>111</v>
      </c>
      <c r="B215" s="70" t="s">
        <v>520</v>
      </c>
      <c r="C215" s="61" t="s">
        <v>19</v>
      </c>
      <c r="D215" s="22">
        <f>SUM(D217:D219)</f>
        <v>-383000</v>
      </c>
      <c r="E215" s="22" t="s">
        <v>110</v>
      </c>
      <c r="F215" s="22">
        <f>SUM(F217:F219)</f>
        <v>-383000</v>
      </c>
      <c r="G215" s="22">
        <f>+G217+G219</f>
        <v>-91190.476190476198</v>
      </c>
      <c r="H215" s="22">
        <f>+H217+H219</f>
        <v>-183900.79365079367</v>
      </c>
      <c r="I215" s="22">
        <f>+I217+I219</f>
        <v>-284210.31746031746</v>
      </c>
      <c r="J215" s="22">
        <f>+J217+J219</f>
        <v>-383000</v>
      </c>
      <c r="K215" s="35"/>
      <c r="L215" s="20"/>
      <c r="M215" s="165"/>
    </row>
    <row r="216" spans="1:13" ht="44.25" customHeight="1">
      <c r="A216" s="60"/>
      <c r="B216" s="15" t="s">
        <v>154</v>
      </c>
      <c r="C216" s="61"/>
      <c r="D216" s="22"/>
      <c r="E216" s="22"/>
      <c r="F216" s="22"/>
      <c r="G216" s="22"/>
      <c r="H216" s="22"/>
      <c r="I216" s="22"/>
      <c r="J216" s="22"/>
      <c r="K216" s="35"/>
      <c r="L216" s="20"/>
      <c r="M216" s="165"/>
    </row>
    <row r="217" spans="1:13" ht="37.5" customHeight="1">
      <c r="A217" s="60" t="s">
        <v>112</v>
      </c>
      <c r="B217" s="15" t="s">
        <v>521</v>
      </c>
      <c r="C217" s="60" t="s">
        <v>113</v>
      </c>
      <c r="D217" s="22"/>
      <c r="E217" s="22" t="s">
        <v>0</v>
      </c>
      <c r="F217" s="22">
        <f>+D217</f>
        <v>0</v>
      </c>
      <c r="G217" s="22">
        <f>+D217/4</f>
        <v>0</v>
      </c>
      <c r="H217" s="22">
        <f>+D217/4*2</f>
        <v>0</v>
      </c>
      <c r="I217" s="22">
        <f>+D217/4*3</f>
        <v>0</v>
      </c>
      <c r="J217" s="22">
        <f>+D217</f>
        <v>0</v>
      </c>
      <c r="K217" s="35"/>
      <c r="L217" s="20"/>
      <c r="M217" s="165"/>
    </row>
    <row r="218" spans="1:13" s="222" customFormat="1" ht="14.25">
      <c r="A218" s="60" t="s">
        <v>114</v>
      </c>
      <c r="B218" s="15" t="s">
        <v>522</v>
      </c>
      <c r="C218" s="60" t="s">
        <v>115</v>
      </c>
      <c r="D218" s="22">
        <f>SUM(E218:F218)</f>
        <v>0</v>
      </c>
      <c r="E218" s="22" t="s">
        <v>0</v>
      </c>
      <c r="F218" s="62"/>
      <c r="G218" s="22">
        <f>+D218/4</f>
        <v>0</v>
      </c>
      <c r="H218" s="22">
        <f>+D218/4*2</f>
        <v>0</v>
      </c>
      <c r="I218" s="22">
        <f>+D218/4*3</f>
        <v>0</v>
      </c>
      <c r="J218" s="22">
        <f>+D218</f>
        <v>0</v>
      </c>
      <c r="K218" s="35"/>
      <c r="L218" s="20"/>
      <c r="M218" s="165"/>
    </row>
    <row r="219" spans="1:13" ht="27">
      <c r="A219" s="21" t="s">
        <v>116</v>
      </c>
      <c r="B219" s="15" t="s">
        <v>523</v>
      </c>
      <c r="C219" s="61" t="s">
        <v>117</v>
      </c>
      <c r="D219" s="22">
        <f>+F219</f>
        <v>-383000</v>
      </c>
      <c r="E219" s="22" t="s">
        <v>110</v>
      </c>
      <c r="F219" s="22">
        <v>-383000</v>
      </c>
      <c r="G219" s="156">
        <f>+D219/252*60</f>
        <v>-91190.476190476198</v>
      </c>
      <c r="H219" s="156">
        <f>+D219/252*121</f>
        <v>-183900.79365079367</v>
      </c>
      <c r="I219" s="156">
        <f>+D219/252*187</f>
        <v>-284210.31746031746</v>
      </c>
      <c r="J219" s="156">
        <f t="shared" ref="J219" si="9">+D219</f>
        <v>-383000</v>
      </c>
      <c r="K219" s="35"/>
      <c r="L219" s="20"/>
      <c r="M219" s="165"/>
    </row>
    <row r="220" spans="1:13" ht="33">
      <c r="A220" s="21" t="s">
        <v>118</v>
      </c>
      <c r="B220" s="70" t="s">
        <v>524</v>
      </c>
      <c r="C220" s="61" t="s">
        <v>19</v>
      </c>
      <c r="D220" s="22">
        <f>SUM(D222:D223)</f>
        <v>0</v>
      </c>
      <c r="E220" s="22" t="s">
        <v>110</v>
      </c>
      <c r="F220" s="22">
        <f>SUM(F222:F223)</f>
        <v>0</v>
      </c>
      <c r="G220" s="22">
        <f>SUM(G222:G223)</f>
        <v>0</v>
      </c>
      <c r="H220" s="22">
        <f>SUM(H222:H223)</f>
        <v>0</v>
      </c>
      <c r="I220" s="22">
        <f>SUM(I222:I223)</f>
        <v>0</v>
      </c>
      <c r="J220" s="22">
        <f>SUM(J222:J223)</f>
        <v>0</v>
      </c>
      <c r="K220" s="35"/>
      <c r="L220" s="20"/>
      <c r="M220" s="165"/>
    </row>
    <row r="221" spans="1:13">
      <c r="A221" s="21"/>
      <c r="B221" s="15" t="s">
        <v>154</v>
      </c>
      <c r="C221" s="61"/>
      <c r="D221" s="22"/>
      <c r="E221" s="22"/>
      <c r="F221" s="22"/>
      <c r="G221" s="22"/>
      <c r="H221" s="22"/>
      <c r="I221" s="22"/>
      <c r="J221" s="22"/>
      <c r="K221" s="35"/>
      <c r="L221" s="20"/>
      <c r="M221" s="165"/>
    </row>
    <row r="222" spans="1:13" s="223" customFormat="1" ht="31.5" customHeight="1">
      <c r="A222" s="67" t="s">
        <v>119</v>
      </c>
      <c r="B222" s="15" t="s">
        <v>525</v>
      </c>
      <c r="C222" s="60" t="s">
        <v>120</v>
      </c>
      <c r="D222" s="68">
        <f>SUM(E222:F222)</f>
        <v>0</v>
      </c>
      <c r="E222" s="68" t="s">
        <v>110</v>
      </c>
      <c r="F222" s="68"/>
      <c r="G222" s="22">
        <f>+D222/4</f>
        <v>0</v>
      </c>
      <c r="H222" s="22">
        <f>+D222/4*2</f>
        <v>0</v>
      </c>
      <c r="I222" s="22">
        <f>+D222/4*3</f>
        <v>0</v>
      </c>
      <c r="J222" s="22">
        <f>+D222</f>
        <v>0</v>
      </c>
      <c r="K222" s="35"/>
      <c r="L222" s="20"/>
      <c r="M222" s="165"/>
    </row>
    <row r="223" spans="1:13" ht="33" customHeight="1">
      <c r="A223" s="21" t="s">
        <v>121</v>
      </c>
      <c r="B223" s="15" t="s">
        <v>526</v>
      </c>
      <c r="C223" s="61" t="s">
        <v>19</v>
      </c>
      <c r="D223" s="22">
        <f>SUM(D225:D227)</f>
        <v>0</v>
      </c>
      <c r="E223" s="22" t="s">
        <v>110</v>
      </c>
      <c r="F223" s="22">
        <f>SUM(F225:F227)</f>
        <v>0</v>
      </c>
      <c r="G223" s="22">
        <f>SUM(G225:G227)</f>
        <v>0</v>
      </c>
      <c r="H223" s="22">
        <f>SUM(H225:H227)</f>
        <v>0</v>
      </c>
      <c r="I223" s="22">
        <f>SUM(I225:I227)</f>
        <v>0</v>
      </c>
      <c r="J223" s="22">
        <f>SUM(J225:J227)</f>
        <v>0</v>
      </c>
      <c r="K223" s="35"/>
      <c r="L223" s="20"/>
      <c r="M223" s="165"/>
    </row>
    <row r="224" spans="1:13">
      <c r="A224" s="21"/>
      <c r="B224" s="15" t="s">
        <v>156</v>
      </c>
      <c r="C224" s="61"/>
      <c r="D224" s="22"/>
      <c r="E224" s="22"/>
      <c r="F224" s="22"/>
      <c r="G224" s="22"/>
      <c r="H224" s="22"/>
      <c r="I224" s="22"/>
      <c r="J224" s="22"/>
      <c r="K224" s="35"/>
      <c r="L224" s="20"/>
      <c r="M224" s="165"/>
    </row>
    <row r="225" spans="1:13">
      <c r="A225" s="21" t="s">
        <v>122</v>
      </c>
      <c r="B225" s="15" t="s">
        <v>527</v>
      </c>
      <c r="C225" s="60" t="s">
        <v>123</v>
      </c>
      <c r="D225" s="22">
        <f>SUM(E225:F225)</f>
        <v>0</v>
      </c>
      <c r="E225" s="22" t="s">
        <v>0</v>
      </c>
      <c r="F225" s="22"/>
      <c r="G225" s="22">
        <f>+D225/4</f>
        <v>0</v>
      </c>
      <c r="H225" s="22">
        <f>+D225/4*2</f>
        <v>0</v>
      </c>
      <c r="I225" s="22">
        <f>+D225/4*3</f>
        <v>0</v>
      </c>
      <c r="J225" s="22">
        <f>+D225</f>
        <v>0</v>
      </c>
      <c r="K225" s="35"/>
      <c r="L225" s="20"/>
      <c r="M225" s="165"/>
    </row>
    <row r="226" spans="1:13" ht="30.75" customHeight="1">
      <c r="A226" s="63" t="s">
        <v>124</v>
      </c>
      <c r="B226" s="15" t="s">
        <v>528</v>
      </c>
      <c r="C226" s="61" t="s">
        <v>125</v>
      </c>
      <c r="D226" s="22">
        <f>SUM(E226:F226)</f>
        <v>0</v>
      </c>
      <c r="E226" s="22" t="s">
        <v>110</v>
      </c>
      <c r="F226" s="22"/>
      <c r="G226" s="22">
        <f>+D226/4</f>
        <v>0</v>
      </c>
      <c r="H226" s="22">
        <f>+D226/4*2</f>
        <v>0</v>
      </c>
      <c r="I226" s="22">
        <f>+D226/4*3</f>
        <v>0</v>
      </c>
      <c r="J226" s="22">
        <f>+D226</f>
        <v>0</v>
      </c>
      <c r="K226" s="35"/>
      <c r="L226" s="20"/>
      <c r="M226" s="165"/>
    </row>
    <row r="227" spans="1:13" ht="33" customHeight="1">
      <c r="A227" s="21" t="s">
        <v>126</v>
      </c>
      <c r="B227" s="8" t="s">
        <v>529</v>
      </c>
      <c r="C227" s="61" t="s">
        <v>127</v>
      </c>
      <c r="D227" s="22">
        <f>SUM(E227:F227)</f>
        <v>0</v>
      </c>
      <c r="E227" s="22" t="s">
        <v>110</v>
      </c>
      <c r="F227" s="22"/>
      <c r="G227" s="22">
        <f>+D227/4</f>
        <v>0</v>
      </c>
      <c r="H227" s="22">
        <f>+D227/4*2</f>
        <v>0</v>
      </c>
      <c r="I227" s="22">
        <f>+D227/4*3</f>
        <v>0</v>
      </c>
      <c r="J227" s="22">
        <f>+D227</f>
        <v>0</v>
      </c>
      <c r="K227" s="35"/>
      <c r="L227" s="20"/>
      <c r="M227" s="165"/>
    </row>
    <row r="228" spans="1:13" ht="33">
      <c r="A228" s="21" t="s">
        <v>128</v>
      </c>
      <c r="B228" s="70" t="s">
        <v>530</v>
      </c>
      <c r="C228" s="61" t="s">
        <v>19</v>
      </c>
      <c r="D228" s="22">
        <f>SUM(D230)</f>
        <v>0</v>
      </c>
      <c r="E228" s="22" t="s">
        <v>110</v>
      </c>
      <c r="F228" s="22">
        <f>SUM(F230)</f>
        <v>0</v>
      </c>
      <c r="G228" s="22">
        <f>SUM(G230)</f>
        <v>0</v>
      </c>
      <c r="H228" s="22">
        <f>SUM(H230)</f>
        <v>0</v>
      </c>
      <c r="I228" s="22">
        <f>SUM(I230)</f>
        <v>0</v>
      </c>
      <c r="J228" s="22">
        <f>SUM(J230)</f>
        <v>0</v>
      </c>
      <c r="K228" s="35"/>
      <c r="L228" s="20"/>
      <c r="M228" s="165"/>
    </row>
    <row r="229" spans="1:13">
      <c r="A229" s="21"/>
      <c r="B229" s="15" t="s">
        <v>154</v>
      </c>
      <c r="C229" s="61"/>
      <c r="D229" s="22"/>
      <c r="E229" s="22"/>
      <c r="F229" s="22"/>
      <c r="G229" s="22"/>
      <c r="H229" s="22"/>
      <c r="I229" s="22"/>
      <c r="J229" s="22"/>
      <c r="K229" s="35"/>
      <c r="L229" s="20"/>
      <c r="M229" s="165"/>
    </row>
    <row r="230" spans="1:13">
      <c r="A230" s="63" t="s">
        <v>129</v>
      </c>
      <c r="B230" s="15" t="s">
        <v>531</v>
      </c>
      <c r="C230" s="59" t="s">
        <v>130</v>
      </c>
      <c r="D230" s="22">
        <f>SUM(E230:F230)</f>
        <v>0</v>
      </c>
      <c r="E230" s="22" t="s">
        <v>110</v>
      </c>
      <c r="F230" s="22"/>
      <c r="G230" s="22">
        <f>+D230/4</f>
        <v>0</v>
      </c>
      <c r="H230" s="22">
        <f>+D230/4*2</f>
        <v>0</v>
      </c>
      <c r="I230" s="22">
        <f>+D230/4*3</f>
        <v>0</v>
      </c>
      <c r="J230" s="22">
        <f>+D230</f>
        <v>0</v>
      </c>
      <c r="K230" s="35"/>
      <c r="L230" s="20"/>
      <c r="M230" s="165"/>
    </row>
    <row r="231" spans="1:13" ht="49.5">
      <c r="A231" s="21" t="s">
        <v>131</v>
      </c>
      <c r="B231" s="70" t="s">
        <v>532</v>
      </c>
      <c r="C231" s="61" t="s">
        <v>19</v>
      </c>
      <c r="D231" s="22">
        <f>SUM(D233:D236)</f>
        <v>-467000</v>
      </c>
      <c r="E231" s="22" t="s">
        <v>110</v>
      </c>
      <c r="F231" s="22">
        <f>SUM(F233:F236)</f>
        <v>-467000</v>
      </c>
      <c r="G231" s="22">
        <f>SUM(G233:G236)</f>
        <v>-111190.47619047618</v>
      </c>
      <c r="H231" s="22">
        <f>SUM(H233:H236)</f>
        <v>-166503.10548294711</v>
      </c>
      <c r="I231" s="22">
        <f>SUM(I233:I236)</f>
        <v>-296978.80357142881</v>
      </c>
      <c r="J231" s="22">
        <f>SUM(J233:J236)</f>
        <v>-467000</v>
      </c>
      <c r="K231" s="35"/>
      <c r="L231" s="20"/>
      <c r="M231" s="165"/>
    </row>
    <row r="232" spans="1:13">
      <c r="A232" s="21"/>
      <c r="B232" s="15" t="s">
        <v>154</v>
      </c>
      <c r="C232" s="61"/>
      <c r="D232" s="22"/>
      <c r="E232" s="22"/>
      <c r="F232" s="22"/>
      <c r="G232" s="22"/>
      <c r="H232" s="22"/>
      <c r="I232" s="22"/>
      <c r="J232" s="22"/>
      <c r="K232" s="35"/>
      <c r="L232" s="20"/>
      <c r="M232" s="165"/>
    </row>
    <row r="233" spans="1:13">
      <c r="A233" s="21" t="s">
        <v>132</v>
      </c>
      <c r="B233" s="15" t="s">
        <v>533</v>
      </c>
      <c r="C233" s="60" t="s">
        <v>133</v>
      </c>
      <c r="D233" s="22">
        <f>+F233</f>
        <v>-467000</v>
      </c>
      <c r="E233" s="22" t="s">
        <v>110</v>
      </c>
      <c r="F233" s="22">
        <v>-467000</v>
      </c>
      <c r="G233" s="156">
        <f t="shared" ref="G233" si="10">+D233/252*60</f>
        <v>-111190.47619047618</v>
      </c>
      <c r="H233" s="156">
        <f>-224234.126984127+57731.0215011799</f>
        <v>-166503.10548294711</v>
      </c>
      <c r="I233" s="156">
        <v>-296978.80357142881</v>
      </c>
      <c r="J233" s="156">
        <f t="shared" ref="J233" si="11">+D233</f>
        <v>-467000</v>
      </c>
      <c r="K233" s="35"/>
      <c r="L233" s="20"/>
      <c r="M233" s="165"/>
    </row>
    <row r="234" spans="1:13">
      <c r="A234" s="63" t="s">
        <v>134</v>
      </c>
      <c r="B234" s="15" t="s">
        <v>534</v>
      </c>
      <c r="C234" s="59" t="s">
        <v>135</v>
      </c>
      <c r="D234" s="22">
        <f>SUM(E234:F234)</f>
        <v>0</v>
      </c>
      <c r="E234" s="22" t="s">
        <v>110</v>
      </c>
      <c r="F234" s="22"/>
      <c r="G234" s="22">
        <f>+D234/4</f>
        <v>0</v>
      </c>
      <c r="H234" s="22">
        <f>+D234/4*2</f>
        <v>0</v>
      </c>
      <c r="I234" s="22">
        <f>+D234/4*3</f>
        <v>0</v>
      </c>
      <c r="J234" s="22">
        <f>+D234</f>
        <v>0</v>
      </c>
      <c r="K234" s="35"/>
      <c r="L234" s="20"/>
      <c r="M234" s="165"/>
    </row>
    <row r="235" spans="1:13" ht="36.75" customHeight="1">
      <c r="A235" s="21" t="s">
        <v>136</v>
      </c>
      <c r="B235" s="15" t="s">
        <v>535</v>
      </c>
      <c r="C235" s="61" t="s">
        <v>137</v>
      </c>
      <c r="D235" s="22">
        <f>SUM(E235:F235)</f>
        <v>0</v>
      </c>
      <c r="E235" s="22" t="s">
        <v>110</v>
      </c>
      <c r="F235" s="22"/>
      <c r="G235" s="22">
        <f>+D235/4</f>
        <v>0</v>
      </c>
      <c r="H235" s="22">
        <f>+D235/4*2</f>
        <v>0</v>
      </c>
      <c r="I235" s="22">
        <f>+D235/4*3</f>
        <v>0</v>
      </c>
      <c r="J235" s="22">
        <f>+D235</f>
        <v>0</v>
      </c>
      <c r="K235" s="35"/>
      <c r="L235" s="20"/>
      <c r="M235" s="165"/>
    </row>
    <row r="236" spans="1:13" ht="36" customHeight="1">
      <c r="A236" s="21" t="s">
        <v>138</v>
      </c>
      <c r="B236" s="15" t="s">
        <v>536</v>
      </c>
      <c r="C236" s="61" t="s">
        <v>139</v>
      </c>
      <c r="D236" s="22">
        <f>SUM(E236:F236)</f>
        <v>0</v>
      </c>
      <c r="E236" s="22" t="s">
        <v>110</v>
      </c>
      <c r="F236" s="22"/>
      <c r="G236" s="22">
        <f>+D236/4</f>
        <v>0</v>
      </c>
      <c r="H236" s="22">
        <f>+D236/4*2</f>
        <v>0</v>
      </c>
      <c r="I236" s="22">
        <f>+D236/4*3</f>
        <v>0</v>
      </c>
      <c r="J236" s="22">
        <f>+D236</f>
        <v>0</v>
      </c>
      <c r="K236" s="35"/>
      <c r="L236" s="20"/>
      <c r="M236" s="165"/>
    </row>
  </sheetData>
  <protectedRanges>
    <protectedRange sqref="E111" name="Range18"/>
    <protectedRange sqref="F225 F217:F218 F222 D216:J216 D224:J224 D221:J221 D214:J214" name="Range15"/>
    <protectedRange sqref="D181:F181 D183:F183 D193:F193 D188:F188 D179:F179" name="Range13"/>
    <protectedRange sqref="E153 E157 E148 E159:E160 D150:F150 D152:F152 D156:F156 D147:F147" name="Range11"/>
    <protectedRange sqref="D117:E117 E120:E123 E125:E127 D119:E119 D124:F124 D128:F128" name="Range9"/>
    <protectedRange sqref="E97 E101 D105:F105 D103:F103 D99:F99 D95:F95" name="Range7"/>
    <protectedRange sqref="E81 E73:E74 D80:F80 D68:F68 D78:F78" name="Range5"/>
    <protectedRange sqref="E49 E33:F33 D37 D35:F35 D46:F46 D32:F32" name="Range3"/>
    <protectedRange sqref="E27 D24:F24 D29:F29 D18:F18 D20:F20 D22:F22" name="Range1"/>
    <protectedRange sqref="E52 E56:E57 D61:F61 D64:F64 D51:F51 E54" name="Range4"/>
    <protectedRange sqref="E89:E91 E85:E86 D93:F93 D88:F88 D84:F84" name="Range6"/>
    <protectedRange sqref="E106:E107 E115 E110 D113:E113 D109:F109" name="Range8"/>
    <protectedRange sqref="E129:E133 E138:E139 E142 D137:F137 D141:F141 D135:F135" name="Range10"/>
    <protectedRange sqref="E170 E163 E177 E166:E167 D172:F172 D165:F165 D169:F169 D175:J175 D162:F162" name="Range12"/>
    <protectedRange sqref="F200:F203 F210:F212 D205:F205 D199:F199 D208:F208" name="Range14"/>
    <protectedRange sqref="F226:F227 F233:F236 F230 D229:J229 D232:F232" name="Range16"/>
    <protectedRange sqref="E30" name="Range17"/>
    <protectedRange sqref="F206" name="Range21"/>
  </protectedRanges>
  <mergeCells count="14">
    <mergeCell ref="G7:J7"/>
    <mergeCell ref="G2:J2"/>
    <mergeCell ref="G3:J3"/>
    <mergeCell ref="G4:J4"/>
    <mergeCell ref="G6:J6"/>
    <mergeCell ref="G8:J8"/>
    <mergeCell ref="A11:J11"/>
    <mergeCell ref="A10:G10"/>
    <mergeCell ref="G14:J14"/>
    <mergeCell ref="E13:F13"/>
    <mergeCell ref="E14:F14"/>
    <mergeCell ref="D14:D15"/>
    <mergeCell ref="A14:A15"/>
    <mergeCell ref="B14:C15"/>
  </mergeCells>
  <pageMargins left="0.2" right="0.2" top="0.25" bottom="0.25" header="0" footer="0"/>
  <pageSetup paperSize="9" scale="85" firstPageNumber="93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20"/>
  <sheetViews>
    <sheetView topLeftCell="A7" workbookViewId="0">
      <selection activeCell="L13" sqref="L13"/>
    </sheetView>
  </sheetViews>
  <sheetFormatPr defaultRowHeight="12.75"/>
  <cols>
    <col min="1" max="1" width="5" style="98" customWidth="1"/>
    <col min="2" max="2" width="36.42578125" style="98" customWidth="1"/>
    <col min="3" max="3" width="13.42578125" style="98" customWidth="1"/>
    <col min="4" max="4" width="10.5703125" style="98" customWidth="1"/>
    <col min="5" max="5" width="13.85546875" style="98" customWidth="1"/>
    <col min="6" max="9" width="13.42578125" style="98" customWidth="1"/>
    <col min="10" max="16384" width="9.140625" style="98"/>
  </cols>
  <sheetData>
    <row r="1" spans="1:9" s="150" customFormat="1" ht="13.5" customHeight="1">
      <c r="A1" s="147"/>
      <c r="B1" s="94"/>
      <c r="C1" s="147"/>
      <c r="D1" s="148"/>
      <c r="E1" s="149"/>
      <c r="F1" s="94"/>
      <c r="G1" s="147"/>
      <c r="H1" s="147"/>
      <c r="I1" s="147" t="s">
        <v>871</v>
      </c>
    </row>
    <row r="2" spans="1:9" s="150" customFormat="1" ht="13.5" customHeight="1">
      <c r="A2" s="147"/>
      <c r="B2" s="94"/>
      <c r="C2" s="147"/>
      <c r="D2" s="148"/>
      <c r="E2" s="149"/>
      <c r="F2" s="260" t="s">
        <v>601</v>
      </c>
      <c r="G2" s="260"/>
      <c r="H2" s="260"/>
      <c r="I2" s="260"/>
    </row>
    <row r="3" spans="1:9" s="150" customFormat="1" ht="13.5" customHeight="1">
      <c r="A3" s="147"/>
      <c r="B3" s="94"/>
      <c r="C3" s="147"/>
      <c r="D3" s="148"/>
      <c r="E3" s="149"/>
      <c r="F3" s="260" t="s">
        <v>867</v>
      </c>
      <c r="G3" s="260"/>
      <c r="H3" s="260"/>
      <c r="I3" s="260"/>
    </row>
    <row r="4" spans="1:9" s="150" customFormat="1" ht="27" customHeight="1">
      <c r="A4" s="147"/>
      <c r="B4" s="94"/>
      <c r="C4" s="147"/>
      <c r="D4" s="148"/>
      <c r="E4" s="149"/>
      <c r="F4" s="261" t="s">
        <v>868</v>
      </c>
      <c r="G4" s="261"/>
      <c r="H4" s="261"/>
      <c r="I4" s="261"/>
    </row>
    <row r="5" spans="1:9" s="150" customFormat="1" ht="13.5" customHeight="1">
      <c r="A5" s="147"/>
      <c r="B5" s="94"/>
      <c r="C5" s="147"/>
      <c r="D5" s="148"/>
      <c r="E5" s="149"/>
      <c r="F5" s="94"/>
      <c r="G5" s="147"/>
      <c r="H5" s="147"/>
      <c r="I5" s="147" t="s">
        <v>865</v>
      </c>
    </row>
    <row r="6" spans="1:9" s="150" customFormat="1" ht="13.5" customHeight="1">
      <c r="A6" s="147"/>
      <c r="B6" s="94"/>
      <c r="C6" s="147"/>
      <c r="D6" s="148"/>
      <c r="E6" s="149"/>
      <c r="F6" s="260" t="s">
        <v>601</v>
      </c>
      <c r="G6" s="260"/>
      <c r="H6" s="260"/>
      <c r="I6" s="260"/>
    </row>
    <row r="7" spans="1:9" s="150" customFormat="1" ht="13.5" customHeight="1">
      <c r="A7" s="147"/>
      <c r="B7" s="94"/>
      <c r="C7" s="147"/>
      <c r="D7" s="148"/>
      <c r="E7" s="149"/>
      <c r="F7" s="260" t="s">
        <v>864</v>
      </c>
      <c r="G7" s="260"/>
      <c r="H7" s="260"/>
      <c r="I7" s="260"/>
    </row>
    <row r="8" spans="1:9" s="150" customFormat="1" ht="13.5" customHeight="1">
      <c r="A8" s="147"/>
      <c r="B8" s="94"/>
      <c r="C8" s="147"/>
      <c r="D8" s="148"/>
      <c r="E8" s="149"/>
      <c r="F8" s="260" t="s">
        <v>863</v>
      </c>
      <c r="G8" s="260"/>
      <c r="H8" s="260"/>
      <c r="I8" s="260"/>
    </row>
    <row r="9" spans="1:9" ht="13.5">
      <c r="E9" s="277"/>
      <c r="F9" s="277"/>
      <c r="G9" s="277"/>
      <c r="H9" s="277"/>
      <c r="I9" s="277"/>
    </row>
    <row r="10" spans="1:9" ht="16.5">
      <c r="A10" s="278" t="s">
        <v>756</v>
      </c>
      <c r="B10" s="278"/>
      <c r="C10" s="278"/>
      <c r="D10" s="278"/>
      <c r="E10" s="278"/>
      <c r="F10" s="278"/>
      <c r="G10" s="278"/>
      <c r="H10" s="278"/>
      <c r="I10" s="278"/>
    </row>
    <row r="11" spans="1:9" ht="42" customHeight="1">
      <c r="A11" s="279" t="s">
        <v>757</v>
      </c>
      <c r="B11" s="279"/>
      <c r="C11" s="279"/>
      <c r="D11" s="279"/>
      <c r="E11" s="279"/>
      <c r="F11" s="279"/>
      <c r="G11" s="279"/>
      <c r="H11" s="279"/>
      <c r="I11" s="279"/>
    </row>
    <row r="12" spans="1:9" ht="30" customHeight="1" thickBot="1">
      <c r="A12" s="3"/>
      <c r="B12" s="100"/>
      <c r="C12" s="100"/>
      <c r="D12" s="280" t="s">
        <v>753</v>
      </c>
      <c r="E12" s="280"/>
    </row>
    <row r="13" spans="1:9" ht="13.5" customHeight="1" thickBot="1">
      <c r="A13" s="281" t="s">
        <v>758</v>
      </c>
      <c r="B13" s="284"/>
      <c r="C13" s="287" t="s">
        <v>697</v>
      </c>
      <c r="D13" s="287"/>
      <c r="E13" s="288"/>
      <c r="F13" s="289" t="s">
        <v>368</v>
      </c>
      <c r="G13" s="290"/>
      <c r="H13" s="290"/>
      <c r="I13" s="291"/>
    </row>
    <row r="14" spans="1:9" ht="30" customHeight="1" thickBot="1">
      <c r="A14" s="282"/>
      <c r="B14" s="285"/>
      <c r="C14" s="102" t="s">
        <v>366</v>
      </c>
      <c r="D14" s="292" t="s">
        <v>759</v>
      </c>
      <c r="E14" s="288"/>
      <c r="F14" s="103" t="s">
        <v>187</v>
      </c>
      <c r="G14" s="103" t="s">
        <v>188</v>
      </c>
      <c r="H14" s="103" t="s">
        <v>189</v>
      </c>
      <c r="I14" s="103" t="s">
        <v>190</v>
      </c>
    </row>
    <row r="15" spans="1:9" ht="39.75" customHeight="1" thickBot="1">
      <c r="A15" s="283"/>
      <c r="B15" s="286"/>
      <c r="C15" s="105" t="s">
        <v>760</v>
      </c>
      <c r="D15" s="106" t="s">
        <v>150</v>
      </c>
      <c r="E15" s="106" t="s">
        <v>151</v>
      </c>
      <c r="F15" s="101">
        <v>7</v>
      </c>
      <c r="G15" s="71">
        <v>8</v>
      </c>
      <c r="H15" s="71">
        <v>9</v>
      </c>
      <c r="I15" s="71">
        <v>10</v>
      </c>
    </row>
    <row r="16" spans="1:9" ht="20.25" customHeight="1" thickBot="1">
      <c r="A16" s="107">
        <v>1</v>
      </c>
      <c r="B16" s="107">
        <v>2</v>
      </c>
      <c r="C16" s="104">
        <v>3</v>
      </c>
      <c r="D16" s="108">
        <v>4</v>
      </c>
      <c r="E16" s="109">
        <v>5</v>
      </c>
      <c r="F16" s="13"/>
      <c r="G16" s="13"/>
      <c r="H16" s="13"/>
      <c r="I16" s="13"/>
    </row>
    <row r="17" spans="1:9" ht="41.25" customHeight="1" thickBot="1">
      <c r="A17" s="237">
        <v>8000</v>
      </c>
      <c r="B17" s="238" t="s">
        <v>761</v>
      </c>
      <c r="C17" s="110">
        <f>+'1. Ekamutner'!D16-'4.Gorcarakan ev tntesagitakan'!H15</f>
        <v>-1334167.5007999986</v>
      </c>
      <c r="D17" s="110">
        <f>+'1. Ekamutner'!E16-'4.Gorcarakan ev tntesagitakan'!I15</f>
        <v>-70561.320999999531</v>
      </c>
      <c r="E17" s="110">
        <f>+'1. Ekamutner'!F16-'4.Gorcarakan ev tntesagitakan'!J15</f>
        <v>-1263606.1797999989</v>
      </c>
      <c r="F17" s="110">
        <f>+'1. Ekamutner'!G16-'4.Gorcarakan ev tntesagitakan'!K15</f>
        <v>-1334167.500800001</v>
      </c>
      <c r="G17" s="110">
        <f>+'1. Ekamutner'!H16-'4.Gorcarakan ev tntesagitakan'!L15</f>
        <v>-1334167.5007999996</v>
      </c>
      <c r="H17" s="110">
        <f>+'1. Ekamutner'!I16-'4.Gorcarakan ev tntesagitakan'!M15</f>
        <v>-1334167.5008000024</v>
      </c>
      <c r="I17" s="110">
        <f>+'1. Ekamutner'!J16-'4.Gorcarakan ev tntesagitakan'!N15</f>
        <v>-1334167.5007999986</v>
      </c>
    </row>
    <row r="18" spans="1:9">
      <c r="A18" s="111"/>
      <c r="B18" s="111"/>
      <c r="C18" s="111"/>
      <c r="D18" s="111"/>
      <c r="E18" s="111"/>
    </row>
    <row r="19" spans="1:9">
      <c r="A19" s="111"/>
      <c r="B19" s="111"/>
      <c r="C19" s="111"/>
      <c r="D19" s="111"/>
      <c r="E19" s="111"/>
    </row>
    <row r="20" spans="1:9">
      <c r="A20" s="111"/>
      <c r="B20" s="111"/>
      <c r="C20" s="111"/>
      <c r="D20" s="111"/>
      <c r="E20" s="111"/>
    </row>
    <row r="21" spans="1:9">
      <c r="A21" s="111"/>
      <c r="B21" s="111"/>
      <c r="C21" s="111"/>
      <c r="D21" s="111"/>
      <c r="E21" s="111"/>
    </row>
    <row r="22" spans="1:9">
      <c r="A22" s="111"/>
      <c r="B22" s="112"/>
      <c r="C22" s="113"/>
      <c r="D22" s="113"/>
      <c r="E22" s="113"/>
    </row>
    <row r="23" spans="1:9">
      <c r="A23" s="111"/>
      <c r="B23" s="112"/>
      <c r="C23" s="113"/>
      <c r="D23" s="113"/>
      <c r="E23" s="113"/>
    </row>
    <row r="24" spans="1:9">
      <c r="A24" s="111"/>
      <c r="B24" s="112"/>
      <c r="C24" s="113"/>
      <c r="D24" s="113"/>
      <c r="E24" s="113"/>
    </row>
    <row r="25" spans="1:9">
      <c r="A25" s="111"/>
      <c r="B25" s="114"/>
      <c r="C25" s="115"/>
      <c r="D25" s="115"/>
      <c r="E25" s="115"/>
    </row>
    <row r="26" spans="1:9">
      <c r="A26" s="111"/>
      <c r="B26" s="114"/>
      <c r="C26" s="115"/>
      <c r="D26" s="115"/>
      <c r="E26" s="115"/>
    </row>
    <row r="27" spans="1:9">
      <c r="A27" s="111"/>
      <c r="B27" s="114"/>
      <c r="C27" s="115"/>
      <c r="D27" s="115"/>
      <c r="E27" s="115"/>
    </row>
    <row r="28" spans="1:9">
      <c r="A28" s="111"/>
      <c r="B28" s="111"/>
      <c r="C28" s="111"/>
      <c r="D28" s="111"/>
      <c r="E28" s="111"/>
    </row>
    <row r="41" spans="1:3">
      <c r="A41" s="116"/>
      <c r="B41" s="117"/>
      <c r="C41" s="118"/>
    </row>
    <row r="42" spans="1:3">
      <c r="A42" s="116"/>
      <c r="B42" s="119"/>
      <c r="C42" s="118"/>
    </row>
    <row r="43" spans="1:3">
      <c r="A43" s="116"/>
      <c r="B43" s="117"/>
      <c r="C43" s="118"/>
    </row>
    <row r="44" spans="1:3">
      <c r="A44" s="116"/>
      <c r="B44" s="117"/>
      <c r="C44" s="118"/>
    </row>
    <row r="45" spans="1:3">
      <c r="A45" s="116"/>
      <c r="B45" s="117"/>
      <c r="C45" s="118"/>
    </row>
    <row r="46" spans="1:3">
      <c r="A46" s="116"/>
      <c r="B46" s="117"/>
      <c r="C46" s="118"/>
    </row>
    <row r="47" spans="1:3">
      <c r="B47" s="117"/>
      <c r="C47" s="118"/>
    </row>
    <row r="48" spans="1:3">
      <c r="B48" s="117"/>
      <c r="C48" s="118"/>
    </row>
    <row r="49" spans="2:3">
      <c r="B49" s="117"/>
      <c r="C49" s="118"/>
    </row>
    <row r="50" spans="2:3">
      <c r="B50" s="117"/>
      <c r="C50" s="118"/>
    </row>
    <row r="51" spans="2:3">
      <c r="B51" s="117"/>
      <c r="C51" s="118"/>
    </row>
    <row r="52" spans="2:3">
      <c r="B52" s="117"/>
      <c r="C52" s="118"/>
    </row>
    <row r="53" spans="2:3">
      <c r="B53" s="117"/>
      <c r="C53" s="118"/>
    </row>
    <row r="54" spans="2:3">
      <c r="B54" s="117"/>
      <c r="C54" s="118"/>
    </row>
    <row r="55" spans="2:3">
      <c r="B55" s="117"/>
      <c r="C55" s="118"/>
    </row>
    <row r="56" spans="2:3">
      <c r="B56" s="117"/>
      <c r="C56" s="118"/>
    </row>
    <row r="57" spans="2:3">
      <c r="B57" s="117"/>
      <c r="C57" s="118"/>
    </row>
    <row r="58" spans="2:3">
      <c r="B58" s="120"/>
    </row>
    <row r="59" spans="2:3">
      <c r="B59" s="120"/>
    </row>
    <row r="60" spans="2:3">
      <c r="B60" s="120"/>
    </row>
    <row r="61" spans="2:3">
      <c r="B61" s="120"/>
    </row>
    <row r="62" spans="2:3">
      <c r="B62" s="120"/>
    </row>
    <row r="63" spans="2:3">
      <c r="B63" s="120"/>
    </row>
    <row r="64" spans="2:3">
      <c r="B64" s="120"/>
    </row>
    <row r="65" spans="2:2">
      <c r="B65" s="120"/>
    </row>
    <row r="66" spans="2:2">
      <c r="B66" s="120"/>
    </row>
    <row r="67" spans="2:2">
      <c r="B67" s="120"/>
    </row>
    <row r="68" spans="2:2">
      <c r="B68" s="120"/>
    </row>
    <row r="69" spans="2:2">
      <c r="B69" s="120"/>
    </row>
    <row r="70" spans="2:2">
      <c r="B70" s="120"/>
    </row>
    <row r="71" spans="2:2">
      <c r="B71" s="120"/>
    </row>
    <row r="72" spans="2:2">
      <c r="B72" s="120"/>
    </row>
    <row r="73" spans="2:2">
      <c r="B73" s="120"/>
    </row>
    <row r="74" spans="2:2">
      <c r="B74" s="120"/>
    </row>
    <row r="75" spans="2:2">
      <c r="B75" s="120"/>
    </row>
    <row r="76" spans="2:2">
      <c r="B76" s="120"/>
    </row>
    <row r="77" spans="2:2">
      <c r="B77" s="120"/>
    </row>
    <row r="78" spans="2:2">
      <c r="B78" s="120"/>
    </row>
    <row r="79" spans="2:2">
      <c r="B79" s="120"/>
    </row>
    <row r="80" spans="2:2">
      <c r="B80" s="120"/>
    </row>
    <row r="81" spans="2:2">
      <c r="B81" s="120"/>
    </row>
    <row r="82" spans="2:2">
      <c r="B82" s="120"/>
    </row>
    <row r="83" spans="2:2">
      <c r="B83" s="120"/>
    </row>
    <row r="84" spans="2:2">
      <c r="B84" s="120"/>
    </row>
    <row r="85" spans="2:2">
      <c r="B85" s="120"/>
    </row>
    <row r="86" spans="2:2">
      <c r="B86" s="120"/>
    </row>
    <row r="87" spans="2:2">
      <c r="B87" s="120"/>
    </row>
    <row r="88" spans="2:2">
      <c r="B88" s="120"/>
    </row>
    <row r="89" spans="2:2">
      <c r="B89" s="120"/>
    </row>
    <row r="90" spans="2:2">
      <c r="B90" s="120"/>
    </row>
    <row r="91" spans="2:2">
      <c r="B91" s="120"/>
    </row>
    <row r="92" spans="2:2">
      <c r="B92" s="120"/>
    </row>
    <row r="93" spans="2:2">
      <c r="B93" s="120"/>
    </row>
    <row r="94" spans="2:2">
      <c r="B94" s="120"/>
    </row>
    <row r="95" spans="2:2">
      <c r="B95" s="120"/>
    </row>
    <row r="96" spans="2:2">
      <c r="B96" s="120"/>
    </row>
    <row r="97" spans="2:2">
      <c r="B97" s="120"/>
    </row>
    <row r="98" spans="2:2">
      <c r="B98" s="120"/>
    </row>
    <row r="99" spans="2:2">
      <c r="B99" s="120"/>
    </row>
    <row r="100" spans="2:2">
      <c r="B100" s="120"/>
    </row>
    <row r="101" spans="2:2">
      <c r="B101" s="120"/>
    </row>
    <row r="102" spans="2:2">
      <c r="B102" s="120"/>
    </row>
    <row r="103" spans="2:2">
      <c r="B103" s="120"/>
    </row>
    <row r="104" spans="2:2">
      <c r="B104" s="120"/>
    </row>
    <row r="105" spans="2:2">
      <c r="B105" s="120"/>
    </row>
    <row r="106" spans="2:2">
      <c r="B106" s="120"/>
    </row>
    <row r="107" spans="2:2">
      <c r="B107" s="120"/>
    </row>
    <row r="108" spans="2:2">
      <c r="B108" s="120"/>
    </row>
    <row r="109" spans="2:2">
      <c r="B109" s="120"/>
    </row>
    <row r="110" spans="2:2">
      <c r="B110" s="120"/>
    </row>
    <row r="111" spans="2:2">
      <c r="B111" s="120"/>
    </row>
    <row r="112" spans="2:2">
      <c r="B112" s="120"/>
    </row>
    <row r="113" spans="2:2">
      <c r="B113" s="120"/>
    </row>
    <row r="114" spans="2:2">
      <c r="B114" s="120"/>
    </row>
    <row r="115" spans="2:2">
      <c r="B115" s="120"/>
    </row>
    <row r="116" spans="2:2">
      <c r="B116" s="120"/>
    </row>
    <row r="117" spans="2:2">
      <c r="B117" s="120"/>
    </row>
    <row r="118" spans="2:2">
      <c r="B118" s="120"/>
    </row>
    <row r="119" spans="2:2">
      <c r="B119" s="120"/>
    </row>
    <row r="120" spans="2:2">
      <c r="B120" s="120"/>
    </row>
    <row r="121" spans="2:2">
      <c r="B121" s="120"/>
    </row>
    <row r="122" spans="2:2">
      <c r="B122" s="120"/>
    </row>
    <row r="123" spans="2:2">
      <c r="B123" s="120"/>
    </row>
    <row r="124" spans="2:2">
      <c r="B124" s="120"/>
    </row>
    <row r="125" spans="2:2">
      <c r="B125" s="120"/>
    </row>
    <row r="126" spans="2:2">
      <c r="B126" s="120"/>
    </row>
    <row r="127" spans="2:2">
      <c r="B127" s="120"/>
    </row>
    <row r="128" spans="2:2">
      <c r="B128" s="120"/>
    </row>
    <row r="129" spans="2:2">
      <c r="B129" s="120"/>
    </row>
    <row r="130" spans="2:2">
      <c r="B130" s="120"/>
    </row>
    <row r="131" spans="2:2">
      <c r="B131" s="120"/>
    </row>
    <row r="132" spans="2:2">
      <c r="B132" s="120"/>
    </row>
    <row r="133" spans="2:2">
      <c r="B133" s="120"/>
    </row>
    <row r="134" spans="2:2">
      <c r="B134" s="120"/>
    </row>
    <row r="135" spans="2:2">
      <c r="B135" s="120"/>
    </row>
    <row r="136" spans="2:2">
      <c r="B136" s="120"/>
    </row>
    <row r="137" spans="2:2">
      <c r="B137" s="120"/>
    </row>
    <row r="138" spans="2:2">
      <c r="B138" s="120"/>
    </row>
    <row r="139" spans="2:2">
      <c r="B139" s="120"/>
    </row>
    <row r="140" spans="2:2">
      <c r="B140" s="120"/>
    </row>
    <row r="141" spans="2:2">
      <c r="B141" s="120"/>
    </row>
    <row r="142" spans="2:2">
      <c r="B142" s="120"/>
    </row>
    <row r="143" spans="2:2">
      <c r="B143" s="120"/>
    </row>
    <row r="144" spans="2:2">
      <c r="B144" s="120"/>
    </row>
    <row r="145" spans="2:2">
      <c r="B145" s="120"/>
    </row>
    <row r="146" spans="2:2">
      <c r="B146" s="120"/>
    </row>
    <row r="147" spans="2:2">
      <c r="B147" s="120"/>
    </row>
    <row r="148" spans="2:2">
      <c r="B148" s="120"/>
    </row>
    <row r="149" spans="2:2">
      <c r="B149" s="120"/>
    </row>
    <row r="150" spans="2:2">
      <c r="B150" s="120"/>
    </row>
    <row r="151" spans="2:2">
      <c r="B151" s="120"/>
    </row>
    <row r="152" spans="2:2">
      <c r="B152" s="120"/>
    </row>
    <row r="153" spans="2:2">
      <c r="B153" s="120"/>
    </row>
    <row r="154" spans="2:2">
      <c r="B154" s="120"/>
    </row>
    <row r="155" spans="2:2">
      <c r="B155" s="120"/>
    </row>
    <row r="156" spans="2:2">
      <c r="B156" s="120"/>
    </row>
    <row r="157" spans="2:2">
      <c r="B157" s="120"/>
    </row>
    <row r="158" spans="2:2">
      <c r="B158" s="120"/>
    </row>
    <row r="159" spans="2:2">
      <c r="B159" s="120"/>
    </row>
    <row r="160" spans="2:2">
      <c r="B160" s="120"/>
    </row>
    <row r="161" spans="2:2">
      <c r="B161" s="120"/>
    </row>
    <row r="162" spans="2:2">
      <c r="B162" s="120"/>
    </row>
    <row r="163" spans="2:2">
      <c r="B163" s="120"/>
    </row>
    <row r="164" spans="2:2">
      <c r="B164" s="120"/>
    </row>
    <row r="165" spans="2:2">
      <c r="B165" s="120"/>
    </row>
    <row r="166" spans="2:2">
      <c r="B166" s="120"/>
    </row>
    <row r="167" spans="2:2">
      <c r="B167" s="120"/>
    </row>
    <row r="168" spans="2:2">
      <c r="B168" s="120"/>
    </row>
    <row r="169" spans="2:2">
      <c r="B169" s="120"/>
    </row>
    <row r="170" spans="2:2">
      <c r="B170" s="120"/>
    </row>
    <row r="171" spans="2:2">
      <c r="B171" s="120"/>
    </row>
    <row r="172" spans="2:2">
      <c r="B172" s="120"/>
    </row>
    <row r="173" spans="2:2">
      <c r="B173" s="120"/>
    </row>
    <row r="174" spans="2:2">
      <c r="B174" s="120"/>
    </row>
    <row r="175" spans="2:2">
      <c r="B175" s="120"/>
    </row>
    <row r="176" spans="2:2">
      <c r="B176" s="120"/>
    </row>
    <row r="177" spans="2:2">
      <c r="B177" s="120"/>
    </row>
    <row r="178" spans="2:2">
      <c r="B178" s="120"/>
    </row>
    <row r="179" spans="2:2">
      <c r="B179" s="120"/>
    </row>
    <row r="180" spans="2:2">
      <c r="B180" s="120"/>
    </row>
    <row r="181" spans="2:2">
      <c r="B181" s="120"/>
    </row>
    <row r="182" spans="2:2">
      <c r="B182" s="120"/>
    </row>
    <row r="183" spans="2:2">
      <c r="B183" s="120"/>
    </row>
    <row r="184" spans="2:2">
      <c r="B184" s="120"/>
    </row>
    <row r="185" spans="2:2">
      <c r="B185" s="120"/>
    </row>
    <row r="186" spans="2:2">
      <c r="B186" s="120"/>
    </row>
    <row r="187" spans="2:2">
      <c r="B187" s="120"/>
    </row>
    <row r="188" spans="2:2">
      <c r="B188" s="120"/>
    </row>
    <row r="189" spans="2:2">
      <c r="B189" s="120"/>
    </row>
    <row r="190" spans="2:2">
      <c r="B190" s="120"/>
    </row>
    <row r="191" spans="2:2">
      <c r="B191" s="120"/>
    </row>
    <row r="192" spans="2:2">
      <c r="B192" s="120"/>
    </row>
    <row r="193" spans="2:2">
      <c r="B193" s="120"/>
    </row>
    <row r="194" spans="2:2">
      <c r="B194" s="120"/>
    </row>
    <row r="195" spans="2:2">
      <c r="B195" s="120"/>
    </row>
    <row r="196" spans="2:2">
      <c r="B196" s="120"/>
    </row>
    <row r="197" spans="2:2">
      <c r="B197" s="120"/>
    </row>
    <row r="198" spans="2:2">
      <c r="B198" s="120"/>
    </row>
    <row r="199" spans="2:2">
      <c r="B199" s="120"/>
    </row>
    <row r="200" spans="2:2">
      <c r="B200" s="120"/>
    </row>
    <row r="201" spans="2:2">
      <c r="B201" s="120"/>
    </row>
    <row r="202" spans="2:2">
      <c r="B202" s="120"/>
    </row>
    <row r="203" spans="2:2">
      <c r="B203" s="120"/>
    </row>
    <row r="204" spans="2:2">
      <c r="B204" s="120"/>
    </row>
    <row r="205" spans="2:2">
      <c r="B205" s="120"/>
    </row>
    <row r="206" spans="2:2">
      <c r="B206" s="120"/>
    </row>
    <row r="207" spans="2:2">
      <c r="B207" s="120"/>
    </row>
    <row r="208" spans="2:2">
      <c r="B208" s="120"/>
    </row>
    <row r="209" spans="2:2">
      <c r="B209" s="120"/>
    </row>
    <row r="210" spans="2:2">
      <c r="B210" s="120"/>
    </row>
    <row r="211" spans="2:2">
      <c r="B211" s="120"/>
    </row>
    <row r="212" spans="2:2">
      <c r="B212" s="120"/>
    </row>
    <row r="213" spans="2:2">
      <c r="B213" s="120"/>
    </row>
    <row r="214" spans="2:2">
      <c r="B214" s="120"/>
    </row>
    <row r="215" spans="2:2">
      <c r="B215" s="120"/>
    </row>
    <row r="216" spans="2:2">
      <c r="B216" s="120"/>
    </row>
    <row r="217" spans="2:2">
      <c r="B217" s="120"/>
    </row>
    <row r="218" spans="2:2">
      <c r="B218" s="120"/>
    </row>
    <row r="219" spans="2:2">
      <c r="B219" s="120"/>
    </row>
    <row r="220" spans="2:2">
      <c r="B220" s="120"/>
    </row>
  </sheetData>
  <mergeCells count="15">
    <mergeCell ref="F6:I6"/>
    <mergeCell ref="F2:I2"/>
    <mergeCell ref="F3:I3"/>
    <mergeCell ref="F4:I4"/>
    <mergeCell ref="F7:I7"/>
    <mergeCell ref="A13:A15"/>
    <mergeCell ref="B13:B15"/>
    <mergeCell ref="C13:E13"/>
    <mergeCell ref="F13:I13"/>
    <mergeCell ref="D14:E14"/>
    <mergeCell ref="E9:I9"/>
    <mergeCell ref="A10:I10"/>
    <mergeCell ref="A11:I11"/>
    <mergeCell ref="F8:I8"/>
    <mergeCell ref="D12:E12"/>
  </mergeCells>
  <pageMargins left="1" right="0.2" top="0.2" bottom="1" header="0.2" footer="0.3"/>
  <pageSetup scale="90" firstPageNumber="101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HJ91"/>
  <sheetViews>
    <sheetView workbookViewId="0">
      <selection activeCell="J1" sqref="J1"/>
    </sheetView>
  </sheetViews>
  <sheetFormatPr defaultRowHeight="16.5"/>
  <cols>
    <col min="1" max="1" width="7.7109375" style="121" customWidth="1"/>
    <col min="2" max="2" width="61.7109375" style="1" customWidth="1"/>
    <col min="3" max="3" width="7.85546875" style="121" customWidth="1"/>
    <col min="4" max="4" width="14.28515625" style="121" customWidth="1"/>
    <col min="5" max="5" width="14.42578125" style="121" customWidth="1"/>
    <col min="6" max="6" width="13.42578125" style="121" customWidth="1"/>
    <col min="7" max="10" width="12.7109375" style="121" customWidth="1"/>
    <col min="11" max="16384" width="9.140625" style="121"/>
  </cols>
  <sheetData>
    <row r="1" spans="1:218" s="150" customFormat="1" ht="13.5">
      <c r="A1" s="147"/>
      <c r="B1" s="94"/>
      <c r="C1" s="147"/>
      <c r="D1" s="148"/>
      <c r="E1" s="149"/>
      <c r="F1" s="149"/>
      <c r="G1" s="94"/>
      <c r="H1" s="147"/>
      <c r="I1" s="147"/>
      <c r="J1" s="147" t="s">
        <v>872</v>
      </c>
    </row>
    <row r="2" spans="1:218" s="150" customFormat="1" ht="13.5">
      <c r="A2" s="147"/>
      <c r="B2" s="94"/>
      <c r="C2" s="147"/>
      <c r="D2" s="148"/>
      <c r="E2" s="149"/>
      <c r="F2" s="149"/>
      <c r="G2" s="260" t="s">
        <v>601</v>
      </c>
      <c r="H2" s="260"/>
      <c r="I2" s="260"/>
      <c r="J2" s="260"/>
    </row>
    <row r="3" spans="1:218" s="150" customFormat="1" ht="13.5">
      <c r="A3" s="147"/>
      <c r="B3" s="94"/>
      <c r="C3" s="147"/>
      <c r="D3" s="148"/>
      <c r="E3" s="149"/>
      <c r="F3" s="149"/>
      <c r="G3" s="260" t="s">
        <v>867</v>
      </c>
      <c r="H3" s="260"/>
      <c r="I3" s="260"/>
      <c r="J3" s="260"/>
    </row>
    <row r="4" spans="1:218" s="150" customFormat="1" ht="13.5" customHeight="1">
      <c r="A4" s="147"/>
      <c r="B4" s="94"/>
      <c r="C4" s="147"/>
      <c r="D4" s="148"/>
      <c r="E4" s="149"/>
      <c r="F4" s="149"/>
      <c r="G4" s="261" t="s">
        <v>868</v>
      </c>
      <c r="H4" s="261"/>
      <c r="I4" s="261"/>
      <c r="J4" s="261"/>
    </row>
    <row r="5" spans="1:218" s="150" customFormat="1" ht="13.5" customHeight="1">
      <c r="A5" s="147"/>
      <c r="B5" s="94"/>
      <c r="C5" s="147"/>
      <c r="D5" s="148"/>
      <c r="E5" s="149"/>
      <c r="F5" s="149"/>
      <c r="G5" s="94"/>
      <c r="H5" s="147"/>
      <c r="I5" s="147"/>
      <c r="J5" s="147" t="s">
        <v>865</v>
      </c>
    </row>
    <row r="6" spans="1:218" s="150" customFormat="1" ht="13.5" customHeight="1">
      <c r="A6" s="147"/>
      <c r="B6" s="94"/>
      <c r="C6" s="147"/>
      <c r="D6" s="148"/>
      <c r="E6" s="149"/>
      <c r="F6" s="149"/>
      <c r="G6" s="260" t="s">
        <v>601</v>
      </c>
      <c r="H6" s="260"/>
      <c r="I6" s="260"/>
      <c r="J6" s="260"/>
    </row>
    <row r="7" spans="1:218" s="150" customFormat="1" ht="13.5">
      <c r="A7" s="147"/>
      <c r="B7" s="94"/>
      <c r="C7" s="147"/>
      <c r="D7" s="148"/>
      <c r="E7" s="149"/>
      <c r="F7" s="149"/>
      <c r="G7" s="260" t="s">
        <v>864</v>
      </c>
      <c r="H7" s="260"/>
      <c r="I7" s="260"/>
      <c r="J7" s="260"/>
    </row>
    <row r="8" spans="1:218" s="150" customFormat="1" ht="13.5">
      <c r="A8" s="147"/>
      <c r="B8" s="94"/>
      <c r="C8" s="147"/>
      <c r="D8" s="148"/>
      <c r="E8" s="149"/>
      <c r="F8" s="149"/>
      <c r="G8" s="260" t="s">
        <v>863</v>
      </c>
      <c r="H8" s="260"/>
      <c r="I8" s="260"/>
      <c r="J8" s="260"/>
    </row>
    <row r="9" spans="1:218" s="150" customFormat="1" ht="13.5">
      <c r="A9" s="147"/>
      <c r="B9" s="94"/>
      <c r="C9" s="147"/>
      <c r="D9" s="148"/>
      <c r="E9" s="149"/>
      <c r="F9" s="149"/>
      <c r="G9" s="293"/>
      <c r="H9" s="293"/>
      <c r="I9" s="293"/>
      <c r="J9" s="293"/>
    </row>
    <row r="10" spans="1:218">
      <c r="E10" s="277"/>
      <c r="F10" s="277"/>
      <c r="G10" s="277"/>
      <c r="H10" s="277"/>
      <c r="I10" s="277"/>
      <c r="J10" s="122"/>
    </row>
    <row r="11" spans="1:218">
      <c r="E11" s="99"/>
      <c r="F11" s="99"/>
      <c r="G11" s="99"/>
      <c r="H11" s="99"/>
      <c r="I11" s="99"/>
      <c r="J11" s="122"/>
    </row>
    <row r="12" spans="1:218">
      <c r="A12" s="278" t="s">
        <v>762</v>
      </c>
      <c r="B12" s="278"/>
      <c r="C12" s="278"/>
      <c r="D12" s="278"/>
      <c r="E12" s="278"/>
      <c r="F12" s="278"/>
      <c r="G12" s="278"/>
      <c r="H12" s="278"/>
      <c r="I12" s="278"/>
      <c r="J12" s="278"/>
    </row>
    <row r="13" spans="1:218" ht="16.5" customHeight="1">
      <c r="A13" s="294" t="s">
        <v>763</v>
      </c>
      <c r="B13" s="294"/>
      <c r="C13" s="294"/>
      <c r="D13" s="294"/>
      <c r="E13" s="294"/>
      <c r="F13" s="294"/>
      <c r="G13" s="294"/>
      <c r="H13" s="294"/>
      <c r="I13" s="294"/>
      <c r="J13" s="294"/>
    </row>
    <row r="14" spans="1:218" ht="33">
      <c r="A14" s="123" t="s">
        <v>764</v>
      </c>
      <c r="B14" s="124" t="s">
        <v>373</v>
      </c>
      <c r="C14" s="125"/>
      <c r="D14" s="295" t="s">
        <v>369</v>
      </c>
      <c r="E14" s="297" t="s">
        <v>765</v>
      </c>
      <c r="F14" s="298"/>
      <c r="G14" s="289" t="s">
        <v>766</v>
      </c>
      <c r="H14" s="290"/>
      <c r="I14" s="290"/>
      <c r="J14" s="291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  <c r="CI14" s="126"/>
      <c r="CJ14" s="126"/>
      <c r="CK14" s="126"/>
      <c r="CL14" s="126"/>
      <c r="CM14" s="126"/>
      <c r="CN14" s="126"/>
      <c r="CO14" s="126"/>
      <c r="CP14" s="126"/>
      <c r="CQ14" s="126"/>
      <c r="CR14" s="126"/>
      <c r="CS14" s="126"/>
      <c r="CT14" s="126"/>
      <c r="CU14" s="126"/>
      <c r="CV14" s="126"/>
      <c r="CW14" s="126"/>
      <c r="CX14" s="126"/>
      <c r="CY14" s="126"/>
      <c r="CZ14" s="126"/>
      <c r="DA14" s="126"/>
      <c r="DB14" s="126"/>
      <c r="DC14" s="126"/>
      <c r="DD14" s="126"/>
      <c r="DE14" s="126"/>
      <c r="DF14" s="126"/>
      <c r="DG14" s="126"/>
      <c r="DH14" s="126"/>
      <c r="DI14" s="126"/>
      <c r="DJ14" s="126"/>
      <c r="DK14" s="126"/>
      <c r="DL14" s="126"/>
      <c r="DM14" s="126"/>
      <c r="DN14" s="126"/>
      <c r="DO14" s="126"/>
      <c r="DP14" s="126"/>
      <c r="DQ14" s="126"/>
      <c r="DR14" s="126"/>
      <c r="DS14" s="126"/>
      <c r="DT14" s="126"/>
      <c r="DU14" s="126"/>
      <c r="DV14" s="126"/>
      <c r="DW14" s="126"/>
      <c r="DX14" s="126"/>
      <c r="DY14" s="126"/>
      <c r="DZ14" s="126"/>
      <c r="EA14" s="126"/>
      <c r="EB14" s="126"/>
      <c r="EC14" s="126"/>
      <c r="ED14" s="126"/>
      <c r="EE14" s="126"/>
      <c r="EF14" s="126"/>
      <c r="EG14" s="126"/>
      <c r="EH14" s="126"/>
      <c r="EI14" s="126"/>
      <c r="EJ14" s="126"/>
      <c r="EK14" s="126"/>
      <c r="EL14" s="126"/>
      <c r="EM14" s="126"/>
      <c r="EN14" s="126"/>
      <c r="EO14" s="126"/>
      <c r="EP14" s="126"/>
      <c r="EQ14" s="126"/>
      <c r="ER14" s="126"/>
      <c r="ES14" s="126"/>
      <c r="ET14" s="126"/>
      <c r="EU14" s="126"/>
      <c r="EV14" s="126"/>
      <c r="EW14" s="126"/>
      <c r="EX14" s="126"/>
      <c r="EY14" s="126"/>
      <c r="EZ14" s="126"/>
      <c r="FA14" s="126"/>
      <c r="FB14" s="126"/>
      <c r="FC14" s="126"/>
      <c r="FD14" s="126"/>
      <c r="FE14" s="126"/>
      <c r="FF14" s="126"/>
      <c r="FG14" s="126"/>
      <c r="FH14" s="126"/>
      <c r="FI14" s="126"/>
      <c r="FJ14" s="126"/>
      <c r="FK14" s="126"/>
      <c r="FL14" s="126"/>
      <c r="FM14" s="126"/>
      <c r="FN14" s="126"/>
      <c r="FO14" s="126"/>
      <c r="FP14" s="126"/>
      <c r="FQ14" s="126"/>
      <c r="FR14" s="126"/>
      <c r="FS14" s="126"/>
      <c r="FT14" s="126"/>
      <c r="FU14" s="126"/>
      <c r="FV14" s="126"/>
      <c r="FW14" s="126"/>
      <c r="FX14" s="126"/>
      <c r="FY14" s="126"/>
      <c r="FZ14" s="126"/>
      <c r="GA14" s="126"/>
      <c r="GB14" s="126"/>
      <c r="GC14" s="126"/>
      <c r="GD14" s="126"/>
      <c r="GE14" s="126"/>
      <c r="GF14" s="126"/>
      <c r="GG14" s="126"/>
      <c r="GH14" s="126"/>
      <c r="GI14" s="126"/>
      <c r="GJ14" s="126"/>
      <c r="GK14" s="126"/>
      <c r="GL14" s="126"/>
      <c r="GM14" s="126"/>
      <c r="GN14" s="126"/>
      <c r="GO14" s="126"/>
      <c r="GP14" s="126"/>
      <c r="GQ14" s="126"/>
      <c r="GR14" s="126"/>
      <c r="GS14" s="126"/>
      <c r="GT14" s="126"/>
      <c r="GU14" s="126"/>
      <c r="GV14" s="126"/>
      <c r="GW14" s="126"/>
      <c r="GX14" s="126"/>
      <c r="GY14" s="126"/>
      <c r="GZ14" s="126"/>
      <c r="HA14" s="126"/>
      <c r="HB14" s="126"/>
      <c r="HC14" s="126"/>
      <c r="HD14" s="126"/>
      <c r="HE14" s="126"/>
      <c r="HF14" s="126"/>
      <c r="HG14" s="126"/>
      <c r="HH14" s="126"/>
      <c r="HI14" s="126"/>
      <c r="HJ14" s="126"/>
    </row>
    <row r="15" spans="1:218" ht="49.5">
      <c r="A15" s="125"/>
      <c r="B15" s="124" t="s">
        <v>767</v>
      </c>
      <c r="C15" s="127" t="s">
        <v>768</v>
      </c>
      <c r="D15" s="296"/>
      <c r="E15" s="128" t="s">
        <v>769</v>
      </c>
      <c r="F15" s="128" t="s">
        <v>371</v>
      </c>
      <c r="G15" s="103" t="s">
        <v>187</v>
      </c>
      <c r="H15" s="103" t="s">
        <v>188</v>
      </c>
      <c r="I15" s="103" t="s">
        <v>189</v>
      </c>
      <c r="J15" s="103" t="s">
        <v>190</v>
      </c>
    </row>
    <row r="16" spans="1:218" ht="17.25" thickBot="1">
      <c r="A16" s="129">
        <v>1</v>
      </c>
      <c r="B16" s="130">
        <v>2</v>
      </c>
      <c r="C16" s="129">
        <v>3</v>
      </c>
      <c r="D16" s="131">
        <v>4</v>
      </c>
      <c r="E16" s="131">
        <v>5</v>
      </c>
      <c r="F16" s="131">
        <v>6</v>
      </c>
      <c r="G16" s="132">
        <v>7</v>
      </c>
      <c r="H16" s="133">
        <v>8</v>
      </c>
      <c r="I16" s="133">
        <v>9</v>
      </c>
      <c r="J16" s="133">
        <v>10</v>
      </c>
    </row>
    <row r="17" spans="1:10" ht="33">
      <c r="A17" s="134">
        <v>8010</v>
      </c>
      <c r="B17" s="135" t="s">
        <v>770</v>
      </c>
      <c r="C17" s="136"/>
      <c r="D17" s="169">
        <f>SUM(E17:F17)</f>
        <v>1334167.5008</v>
      </c>
      <c r="E17" s="169">
        <f>SUM(E19+E74)</f>
        <v>70561.320999999996</v>
      </c>
      <c r="F17" s="170">
        <f>SUM(F19+F74)</f>
        <v>1263606.1798</v>
      </c>
      <c r="G17" s="170">
        <f t="shared" ref="G17:J17" si="0">SUM(G19+G74)</f>
        <v>1334167.5008</v>
      </c>
      <c r="H17" s="170">
        <f t="shared" si="0"/>
        <v>1334167.5008</v>
      </c>
      <c r="I17" s="170">
        <f t="shared" si="0"/>
        <v>1334167.5008</v>
      </c>
      <c r="J17" s="170">
        <f t="shared" si="0"/>
        <v>1334167.5008</v>
      </c>
    </row>
    <row r="18" spans="1:10">
      <c r="A18" s="134"/>
      <c r="B18" s="135" t="s">
        <v>154</v>
      </c>
      <c r="C18" s="134"/>
      <c r="D18" s="171"/>
      <c r="E18" s="172"/>
      <c r="F18" s="173"/>
      <c r="G18" s="173"/>
      <c r="H18" s="173"/>
      <c r="I18" s="173"/>
      <c r="J18" s="173"/>
    </row>
    <row r="19" spans="1:10" ht="33">
      <c r="A19" s="134">
        <v>8100</v>
      </c>
      <c r="B19" s="135" t="s">
        <v>771</v>
      </c>
      <c r="C19" s="134"/>
      <c r="D19" s="174">
        <f>SUM(D21,D49)</f>
        <v>1334167.5008</v>
      </c>
      <c r="E19" s="174">
        <f>SUM(E21,E49)</f>
        <v>70561.320999999996</v>
      </c>
      <c r="F19" s="175">
        <f>SUM(F21,F49)</f>
        <v>1263606.1798</v>
      </c>
      <c r="G19" s="175">
        <f t="shared" ref="G19:J19" si="1">SUM(G21,G49)</f>
        <v>1334167.5008</v>
      </c>
      <c r="H19" s="175">
        <f t="shared" si="1"/>
        <v>1334167.5008</v>
      </c>
      <c r="I19" s="175">
        <f t="shared" si="1"/>
        <v>1334167.5008</v>
      </c>
      <c r="J19" s="175">
        <f t="shared" si="1"/>
        <v>1334167.5008</v>
      </c>
    </row>
    <row r="20" spans="1:10">
      <c r="A20" s="134"/>
      <c r="B20" s="138" t="s">
        <v>154</v>
      </c>
      <c r="C20" s="134"/>
      <c r="D20" s="174"/>
      <c r="E20" s="174"/>
      <c r="F20" s="175"/>
      <c r="G20" s="175"/>
      <c r="H20" s="175"/>
      <c r="I20" s="175"/>
      <c r="J20" s="175"/>
    </row>
    <row r="21" spans="1:10">
      <c r="A21" s="134">
        <v>8110</v>
      </c>
      <c r="B21" s="139" t="s">
        <v>772</v>
      </c>
      <c r="C21" s="134"/>
      <c r="D21" s="174">
        <f>SUM(D23:D27)</f>
        <v>0</v>
      </c>
      <c r="E21" s="174">
        <f>SUM(E23:E27)</f>
        <v>0</v>
      </c>
      <c r="F21" s="175">
        <f>SUM(F23:F27)</f>
        <v>0</v>
      </c>
      <c r="G21" s="175">
        <f t="shared" ref="G21:J21" si="2">SUM(G23:G27)</f>
        <v>0</v>
      </c>
      <c r="H21" s="175">
        <f t="shared" si="2"/>
        <v>0</v>
      </c>
      <c r="I21" s="175">
        <f t="shared" si="2"/>
        <v>0</v>
      </c>
      <c r="J21" s="175">
        <f t="shared" si="2"/>
        <v>0</v>
      </c>
    </row>
    <row r="22" spans="1:10">
      <c r="A22" s="134"/>
      <c r="B22" s="135" t="s">
        <v>154</v>
      </c>
      <c r="C22" s="134"/>
      <c r="D22" s="176"/>
      <c r="E22" s="176"/>
      <c r="F22" s="176"/>
      <c r="G22" s="176"/>
      <c r="H22" s="176"/>
      <c r="I22" s="176"/>
      <c r="J22" s="176"/>
    </row>
    <row r="23" spans="1:10" ht="33">
      <c r="A23" s="134">
        <v>8111</v>
      </c>
      <c r="B23" s="135" t="s">
        <v>773</v>
      </c>
      <c r="C23" s="134"/>
      <c r="D23" s="174">
        <f>SUM(D25:D26)</f>
        <v>0</v>
      </c>
      <c r="E23" s="177" t="s">
        <v>774</v>
      </c>
      <c r="F23" s="175">
        <f>SUM(F25:F26)</f>
        <v>0</v>
      </c>
      <c r="G23" s="175">
        <f t="shared" ref="G23:J23" si="3">SUM(G25:G26)</f>
        <v>0</v>
      </c>
      <c r="H23" s="175">
        <f t="shared" si="3"/>
        <v>0</v>
      </c>
      <c r="I23" s="175">
        <f t="shared" si="3"/>
        <v>0</v>
      </c>
      <c r="J23" s="175">
        <f t="shared" si="3"/>
        <v>0</v>
      </c>
    </row>
    <row r="24" spans="1:10">
      <c r="A24" s="134"/>
      <c r="B24" s="135" t="s">
        <v>451</v>
      </c>
      <c r="C24" s="134"/>
      <c r="D24" s="174"/>
      <c r="E24" s="177"/>
      <c r="F24" s="178"/>
      <c r="G24" s="178"/>
      <c r="H24" s="178"/>
      <c r="I24" s="178"/>
      <c r="J24" s="178"/>
    </row>
    <row r="25" spans="1:10" ht="17.25" thickBot="1">
      <c r="A25" s="134">
        <v>8112</v>
      </c>
      <c r="B25" s="141" t="s">
        <v>775</v>
      </c>
      <c r="C25" s="142" t="s">
        <v>776</v>
      </c>
      <c r="D25" s="179">
        <f>SUM(E25:F25)</f>
        <v>0</v>
      </c>
      <c r="E25" s="177" t="s">
        <v>774</v>
      </c>
      <c r="F25" s="178"/>
      <c r="G25" s="178"/>
      <c r="H25" s="178"/>
      <c r="I25" s="178"/>
      <c r="J25" s="178"/>
    </row>
    <row r="26" spans="1:10" ht="17.25" thickBot="1">
      <c r="A26" s="134">
        <v>8113</v>
      </c>
      <c r="B26" s="141" t="s">
        <v>777</v>
      </c>
      <c r="C26" s="142" t="s">
        <v>778</v>
      </c>
      <c r="D26" s="179">
        <f>SUM(E26:F26)</f>
        <v>0</v>
      </c>
      <c r="E26" s="177" t="s">
        <v>774</v>
      </c>
      <c r="F26" s="178"/>
      <c r="G26" s="178"/>
      <c r="H26" s="178"/>
      <c r="I26" s="178"/>
      <c r="J26" s="178"/>
    </row>
    <row r="27" spans="1:10" ht="33">
      <c r="A27" s="134">
        <v>8120</v>
      </c>
      <c r="B27" s="135" t="s">
        <v>779</v>
      </c>
      <c r="C27" s="142"/>
      <c r="D27" s="174">
        <f>SUM(D29,D39)</f>
        <v>0</v>
      </c>
      <c r="E27" s="174">
        <f>SUM(E29,E39)</f>
        <v>0</v>
      </c>
      <c r="F27" s="175">
        <f>SUM(F29,F39)</f>
        <v>0</v>
      </c>
      <c r="G27" s="175">
        <f t="shared" ref="G27:J27" si="4">SUM(G29,G39)</f>
        <v>0</v>
      </c>
      <c r="H27" s="175">
        <f t="shared" si="4"/>
        <v>0</v>
      </c>
      <c r="I27" s="175">
        <f t="shared" si="4"/>
        <v>0</v>
      </c>
      <c r="J27" s="175">
        <f t="shared" si="4"/>
        <v>0</v>
      </c>
    </row>
    <row r="28" spans="1:10">
      <c r="A28" s="134"/>
      <c r="B28" s="135" t="s">
        <v>154</v>
      </c>
      <c r="C28" s="142"/>
      <c r="D28" s="174"/>
      <c r="E28" s="177"/>
      <c r="F28" s="178"/>
      <c r="G28" s="178"/>
      <c r="H28" s="178"/>
      <c r="I28" s="178"/>
      <c r="J28" s="178"/>
    </row>
    <row r="29" spans="1:10">
      <c r="A29" s="134">
        <v>8121</v>
      </c>
      <c r="B29" s="135" t="s">
        <v>780</v>
      </c>
      <c r="C29" s="142"/>
      <c r="D29" s="174">
        <f>SUM(D31,D35)</f>
        <v>0</v>
      </c>
      <c r="E29" s="177" t="s">
        <v>774</v>
      </c>
      <c r="F29" s="175">
        <f>SUM(F31,F35)</f>
        <v>0</v>
      </c>
      <c r="G29" s="175">
        <f t="shared" ref="G29:J29" si="5">SUM(G31,G35)</f>
        <v>0</v>
      </c>
      <c r="H29" s="175">
        <f t="shared" si="5"/>
        <v>0</v>
      </c>
      <c r="I29" s="175">
        <f t="shared" si="5"/>
        <v>0</v>
      </c>
      <c r="J29" s="175">
        <f t="shared" si="5"/>
        <v>0</v>
      </c>
    </row>
    <row r="30" spans="1:10">
      <c r="A30" s="134"/>
      <c r="B30" s="135" t="s">
        <v>451</v>
      </c>
      <c r="C30" s="142"/>
      <c r="D30" s="174"/>
      <c r="E30" s="177"/>
      <c r="F30" s="178"/>
      <c r="G30" s="178"/>
      <c r="H30" s="178"/>
      <c r="I30" s="178"/>
      <c r="J30" s="178"/>
    </row>
    <row r="31" spans="1:10">
      <c r="A31" s="134">
        <v>8122</v>
      </c>
      <c r="B31" s="139" t="s">
        <v>781</v>
      </c>
      <c r="C31" s="142" t="s">
        <v>782</v>
      </c>
      <c r="D31" s="174">
        <f>SUM(D33:D34)</f>
        <v>0</v>
      </c>
      <c r="E31" s="177" t="s">
        <v>774</v>
      </c>
      <c r="F31" s="175">
        <f>SUM(F33:F34)</f>
        <v>0</v>
      </c>
      <c r="G31" s="175">
        <f t="shared" ref="G31:J31" si="6">SUM(G33:G34)</f>
        <v>0</v>
      </c>
      <c r="H31" s="175">
        <f t="shared" si="6"/>
        <v>0</v>
      </c>
      <c r="I31" s="175">
        <f t="shared" si="6"/>
        <v>0</v>
      </c>
      <c r="J31" s="175">
        <f t="shared" si="6"/>
        <v>0</v>
      </c>
    </row>
    <row r="32" spans="1:10">
      <c r="A32" s="134"/>
      <c r="B32" s="139" t="s">
        <v>451</v>
      </c>
      <c r="C32" s="142"/>
      <c r="D32" s="174"/>
      <c r="E32" s="177"/>
      <c r="F32" s="178"/>
      <c r="G32" s="178"/>
      <c r="H32" s="178"/>
      <c r="I32" s="178"/>
      <c r="J32" s="178"/>
    </row>
    <row r="33" spans="1:10" ht="17.25" thickBot="1">
      <c r="A33" s="134">
        <v>8123</v>
      </c>
      <c r="B33" s="139" t="s">
        <v>783</v>
      </c>
      <c r="C33" s="142"/>
      <c r="D33" s="179">
        <f>SUM(E33:F33)</f>
        <v>0</v>
      </c>
      <c r="E33" s="177" t="s">
        <v>774</v>
      </c>
      <c r="F33" s="178"/>
      <c r="G33" s="178"/>
      <c r="H33" s="178"/>
      <c r="I33" s="178"/>
      <c r="J33" s="178"/>
    </row>
    <row r="34" spans="1:10" ht="17.25" thickBot="1">
      <c r="A34" s="134">
        <v>8124</v>
      </c>
      <c r="B34" s="139" t="s">
        <v>784</v>
      </c>
      <c r="C34" s="142"/>
      <c r="D34" s="179">
        <f>SUM(E34:F34)</f>
        <v>0</v>
      </c>
      <c r="E34" s="177" t="s">
        <v>774</v>
      </c>
      <c r="F34" s="178"/>
      <c r="G34" s="178"/>
      <c r="H34" s="178"/>
      <c r="I34" s="178"/>
      <c r="J34" s="178"/>
    </row>
    <row r="35" spans="1:10">
      <c r="A35" s="134">
        <v>8130</v>
      </c>
      <c r="B35" s="139" t="s">
        <v>785</v>
      </c>
      <c r="C35" s="142" t="s">
        <v>786</v>
      </c>
      <c r="D35" s="174">
        <f>SUM(D37:D38)</f>
        <v>0</v>
      </c>
      <c r="E35" s="177" t="s">
        <v>774</v>
      </c>
      <c r="F35" s="175">
        <f>SUM(F37:F38)</f>
        <v>0</v>
      </c>
      <c r="G35" s="175">
        <f t="shared" ref="G35:J35" si="7">SUM(G37:G38)</f>
        <v>0</v>
      </c>
      <c r="H35" s="175">
        <f t="shared" si="7"/>
        <v>0</v>
      </c>
      <c r="I35" s="175">
        <f t="shared" si="7"/>
        <v>0</v>
      </c>
      <c r="J35" s="175">
        <f t="shared" si="7"/>
        <v>0</v>
      </c>
    </row>
    <row r="36" spans="1:10">
      <c r="A36" s="134"/>
      <c r="B36" s="139" t="s">
        <v>451</v>
      </c>
      <c r="C36" s="142"/>
      <c r="D36" s="174"/>
      <c r="E36" s="177"/>
      <c r="F36" s="178"/>
      <c r="G36" s="178"/>
      <c r="H36" s="178"/>
      <c r="I36" s="178"/>
      <c r="J36" s="178"/>
    </row>
    <row r="37" spans="1:10" ht="17.25" thickBot="1">
      <c r="A37" s="134">
        <v>8131</v>
      </c>
      <c r="B37" s="139" t="s">
        <v>787</v>
      </c>
      <c r="C37" s="142"/>
      <c r="D37" s="179">
        <f>SUM(E37:F37)</f>
        <v>0</v>
      </c>
      <c r="E37" s="177" t="s">
        <v>774</v>
      </c>
      <c r="F37" s="178"/>
      <c r="G37" s="178"/>
      <c r="H37" s="178"/>
      <c r="I37" s="178"/>
      <c r="J37" s="178"/>
    </row>
    <row r="38" spans="1:10" ht="17.25" thickBot="1">
      <c r="A38" s="134">
        <v>8132</v>
      </c>
      <c r="B38" s="139" t="s">
        <v>788</v>
      </c>
      <c r="C38" s="142"/>
      <c r="D38" s="179">
        <f>SUM(E38:F38)</f>
        <v>0</v>
      </c>
      <c r="E38" s="177" t="s">
        <v>774</v>
      </c>
      <c r="F38" s="178"/>
      <c r="G38" s="178"/>
      <c r="H38" s="178"/>
      <c r="I38" s="178"/>
      <c r="J38" s="178"/>
    </row>
    <row r="39" spans="1:10">
      <c r="A39" s="134">
        <v>8140</v>
      </c>
      <c r="B39" s="139" t="s">
        <v>789</v>
      </c>
      <c r="C39" s="142"/>
      <c r="D39" s="174">
        <f>SUM(D41,D45)</f>
        <v>0</v>
      </c>
      <c r="E39" s="174">
        <f>SUM(E41,E45)</f>
        <v>0</v>
      </c>
      <c r="F39" s="175">
        <f>SUM(F41,F45)</f>
        <v>0</v>
      </c>
      <c r="G39" s="175">
        <f t="shared" ref="G39:J39" si="8">SUM(G41,G45)</f>
        <v>0</v>
      </c>
      <c r="H39" s="175">
        <f t="shared" si="8"/>
        <v>0</v>
      </c>
      <c r="I39" s="175">
        <f t="shared" si="8"/>
        <v>0</v>
      </c>
      <c r="J39" s="175">
        <f t="shared" si="8"/>
        <v>0</v>
      </c>
    </row>
    <row r="40" spans="1:10" ht="17.25" thickBot="1">
      <c r="A40" s="134"/>
      <c r="B40" s="135" t="s">
        <v>451</v>
      </c>
      <c r="C40" s="142"/>
      <c r="D40" s="174"/>
      <c r="E40" s="177"/>
      <c r="F40" s="178"/>
      <c r="G40" s="178"/>
      <c r="H40" s="178"/>
      <c r="I40" s="178"/>
      <c r="J40" s="178"/>
    </row>
    <row r="41" spans="1:10">
      <c r="A41" s="134">
        <v>8141</v>
      </c>
      <c r="B41" s="139" t="s">
        <v>790</v>
      </c>
      <c r="C41" s="142" t="s">
        <v>782</v>
      </c>
      <c r="D41" s="180">
        <f>SUM(D43:D44)</f>
        <v>0</v>
      </c>
      <c r="E41" s="180">
        <f>SUM(E43:E44)</f>
        <v>0</v>
      </c>
      <c r="F41" s="181">
        <f>SUM(F43:F44)</f>
        <v>0</v>
      </c>
      <c r="G41" s="181">
        <f t="shared" ref="G41:J41" si="9">SUM(G43:G44)</f>
        <v>0</v>
      </c>
      <c r="H41" s="181">
        <f t="shared" si="9"/>
        <v>0</v>
      </c>
      <c r="I41" s="181">
        <f t="shared" si="9"/>
        <v>0</v>
      </c>
      <c r="J41" s="181">
        <f t="shared" si="9"/>
        <v>0</v>
      </c>
    </row>
    <row r="42" spans="1:10">
      <c r="A42" s="134"/>
      <c r="B42" s="139" t="s">
        <v>451</v>
      </c>
      <c r="C42" s="142"/>
      <c r="D42" s="174"/>
      <c r="E42" s="177"/>
      <c r="F42" s="178"/>
      <c r="G42" s="178"/>
      <c r="H42" s="178"/>
      <c r="I42" s="178"/>
      <c r="J42" s="178"/>
    </row>
    <row r="43" spans="1:10" ht="17.25" thickBot="1">
      <c r="A43" s="134">
        <v>8142</v>
      </c>
      <c r="B43" s="139" t="s">
        <v>791</v>
      </c>
      <c r="C43" s="142"/>
      <c r="D43" s="179">
        <f>SUM(E43:F43)</f>
        <v>0</v>
      </c>
      <c r="E43" s="177"/>
      <c r="F43" s="178" t="s">
        <v>0</v>
      </c>
      <c r="G43" s="177"/>
      <c r="H43" s="177"/>
      <c r="I43" s="177"/>
      <c r="J43" s="177"/>
    </row>
    <row r="44" spans="1:10" ht="17.25" thickBot="1">
      <c r="A44" s="134">
        <v>8143</v>
      </c>
      <c r="B44" s="139" t="s">
        <v>792</v>
      </c>
      <c r="C44" s="142"/>
      <c r="D44" s="179">
        <f>SUM(E44:F44)</f>
        <v>0</v>
      </c>
      <c r="E44" s="182"/>
      <c r="F44" s="183" t="s">
        <v>0</v>
      </c>
      <c r="G44" s="182"/>
      <c r="H44" s="182"/>
      <c r="I44" s="182"/>
      <c r="J44" s="182"/>
    </row>
    <row r="45" spans="1:10">
      <c r="A45" s="134">
        <v>8150</v>
      </c>
      <c r="B45" s="139" t="s">
        <v>793</v>
      </c>
      <c r="C45" s="142" t="s">
        <v>786</v>
      </c>
      <c r="D45" s="180">
        <f>SUM(D47:D48)</f>
        <v>0</v>
      </c>
      <c r="E45" s="180">
        <f>SUM(E47:E48)</f>
        <v>0</v>
      </c>
      <c r="F45" s="181">
        <f>SUM(F47:F48)</f>
        <v>0</v>
      </c>
      <c r="G45" s="180">
        <f>SUM(G47:G48)</f>
        <v>0</v>
      </c>
      <c r="H45" s="180">
        <f t="shared" ref="H45:J45" si="10">SUM(H47:H48)</f>
        <v>0</v>
      </c>
      <c r="I45" s="180">
        <f t="shared" si="10"/>
        <v>0</v>
      </c>
      <c r="J45" s="180">
        <f t="shared" si="10"/>
        <v>0</v>
      </c>
    </row>
    <row r="46" spans="1:10">
      <c r="A46" s="134"/>
      <c r="B46" s="139" t="s">
        <v>451</v>
      </c>
      <c r="C46" s="142"/>
      <c r="D46" s="174"/>
      <c r="E46" s="177"/>
      <c r="F46" s="178"/>
      <c r="G46" s="177"/>
      <c r="H46" s="177"/>
      <c r="I46" s="177"/>
      <c r="J46" s="177"/>
    </row>
    <row r="47" spans="1:10" ht="17.25" thickBot="1">
      <c r="A47" s="134">
        <v>8151</v>
      </c>
      <c r="B47" s="139" t="s">
        <v>787</v>
      </c>
      <c r="C47" s="142"/>
      <c r="D47" s="179">
        <f>SUM(E47:F47)</f>
        <v>0</v>
      </c>
      <c r="E47" s="177"/>
      <c r="F47" s="178" t="s">
        <v>0</v>
      </c>
      <c r="G47" s="177"/>
      <c r="H47" s="177"/>
      <c r="I47" s="177"/>
      <c r="J47" s="177"/>
    </row>
    <row r="48" spans="1:10" ht="17.25" thickBot="1">
      <c r="A48" s="134">
        <v>8152</v>
      </c>
      <c r="B48" s="139" t="s">
        <v>794</v>
      </c>
      <c r="C48" s="142"/>
      <c r="D48" s="179">
        <f>SUM(E48:F48)</f>
        <v>0</v>
      </c>
      <c r="E48" s="182"/>
      <c r="F48" s="183" t="s">
        <v>0</v>
      </c>
      <c r="G48" s="182"/>
      <c r="H48" s="182"/>
      <c r="I48" s="182"/>
      <c r="J48" s="182"/>
    </row>
    <row r="49" spans="1:10" ht="50.25" thickBot="1">
      <c r="A49" s="134">
        <v>8160</v>
      </c>
      <c r="B49" s="139" t="s">
        <v>795</v>
      </c>
      <c r="C49" s="142"/>
      <c r="D49" s="184">
        <f>SUM(D51,D56,D60,D72)</f>
        <v>1334167.5008</v>
      </c>
      <c r="E49" s="184">
        <f>SUM(E51,E56,E60,E72)</f>
        <v>70561.320999999996</v>
      </c>
      <c r="F49" s="185">
        <f>SUM(F51,F56,F60,F72)</f>
        <v>1263606.1798</v>
      </c>
      <c r="G49" s="184">
        <f>SUM(G51,G56,G60,G72)</f>
        <v>1334167.5008</v>
      </c>
      <c r="H49" s="184">
        <f t="shared" ref="H49:J49" si="11">SUM(H51,H56,H60,H72)</f>
        <v>1334167.5008</v>
      </c>
      <c r="I49" s="184">
        <f t="shared" si="11"/>
        <v>1334167.5008</v>
      </c>
      <c r="J49" s="184">
        <f t="shared" si="11"/>
        <v>1334167.5008</v>
      </c>
    </row>
    <row r="50" spans="1:10" ht="17.25" thickBot="1">
      <c r="A50" s="134"/>
      <c r="B50" s="138" t="s">
        <v>154</v>
      </c>
      <c r="C50" s="142"/>
      <c r="D50" s="186"/>
      <c r="E50" s="187"/>
      <c r="F50" s="188"/>
      <c r="G50" s="187"/>
      <c r="H50" s="187"/>
      <c r="I50" s="187"/>
      <c r="J50" s="187"/>
    </row>
    <row r="51" spans="1:10" ht="17.25" thickBot="1">
      <c r="A51" s="134">
        <v>8161</v>
      </c>
      <c r="B51" s="135" t="s">
        <v>796</v>
      </c>
      <c r="C51" s="142"/>
      <c r="D51" s="189">
        <f>SUM(D53:D55)</f>
        <v>0</v>
      </c>
      <c r="E51" s="190" t="s">
        <v>774</v>
      </c>
      <c r="F51" s="191">
        <f>SUM(F53:F55)</f>
        <v>0</v>
      </c>
      <c r="G51" s="191">
        <f t="shared" ref="G51:J51" si="12">SUM(G53:G55)</f>
        <v>0</v>
      </c>
      <c r="H51" s="191">
        <f t="shared" si="12"/>
        <v>0</v>
      </c>
      <c r="I51" s="191">
        <f t="shared" si="12"/>
        <v>0</v>
      </c>
      <c r="J51" s="191">
        <f t="shared" si="12"/>
        <v>0</v>
      </c>
    </row>
    <row r="52" spans="1:10">
      <c r="A52" s="134"/>
      <c r="B52" s="135" t="s">
        <v>451</v>
      </c>
      <c r="C52" s="142"/>
      <c r="D52" s="171"/>
      <c r="E52" s="192"/>
      <c r="F52" s="173"/>
      <c r="G52" s="173"/>
      <c r="H52" s="173"/>
      <c r="I52" s="173"/>
      <c r="J52" s="173"/>
    </row>
    <row r="53" spans="1:10" ht="50.25" thickBot="1">
      <c r="A53" s="134">
        <v>8162</v>
      </c>
      <c r="B53" s="139" t="s">
        <v>797</v>
      </c>
      <c r="C53" s="142" t="s">
        <v>798</v>
      </c>
      <c r="D53" s="179"/>
      <c r="E53" s="177" t="s">
        <v>774</v>
      </c>
      <c r="F53" s="178"/>
      <c r="G53" s="178"/>
      <c r="H53" s="178"/>
      <c r="I53" s="178"/>
      <c r="J53" s="178"/>
    </row>
    <row r="54" spans="1:10" ht="99.75" thickBot="1">
      <c r="A54" s="134">
        <v>8163</v>
      </c>
      <c r="B54" s="143" t="s">
        <v>799</v>
      </c>
      <c r="C54" s="142" t="s">
        <v>798</v>
      </c>
      <c r="D54" s="179">
        <f>SUM(E54:F54)</f>
        <v>0</v>
      </c>
      <c r="E54" s="190" t="s">
        <v>774</v>
      </c>
      <c r="F54" s="193"/>
      <c r="G54" s="193"/>
      <c r="H54" s="193"/>
      <c r="I54" s="193"/>
      <c r="J54" s="193"/>
    </row>
    <row r="55" spans="1:10" ht="33.75" thickBot="1">
      <c r="A55" s="134">
        <v>8164</v>
      </c>
      <c r="B55" s="139" t="s">
        <v>800</v>
      </c>
      <c r="C55" s="142" t="s">
        <v>801</v>
      </c>
      <c r="D55" s="179">
        <f>SUM(E55:F55)</f>
        <v>0</v>
      </c>
      <c r="E55" s="182" t="s">
        <v>774</v>
      </c>
      <c r="F55" s="183"/>
      <c r="G55" s="183"/>
      <c r="H55" s="183"/>
      <c r="I55" s="183"/>
      <c r="J55" s="183"/>
    </row>
    <row r="56" spans="1:10" ht="17.25" thickBot="1">
      <c r="A56" s="134">
        <v>8170</v>
      </c>
      <c r="B56" s="135" t="s">
        <v>802</v>
      </c>
      <c r="C56" s="142"/>
      <c r="D56" s="194">
        <f>SUM(D58:D59)</f>
        <v>0</v>
      </c>
      <c r="E56" s="194">
        <f>SUM(E58:E59)</f>
        <v>0</v>
      </c>
      <c r="F56" s="195">
        <f>SUM(F58:F59)</f>
        <v>0</v>
      </c>
      <c r="G56" s="195">
        <f t="shared" ref="G56:J56" si="13">SUM(G58:G59)</f>
        <v>0</v>
      </c>
      <c r="H56" s="195">
        <f t="shared" si="13"/>
        <v>0</v>
      </c>
      <c r="I56" s="195">
        <f t="shared" si="13"/>
        <v>0</v>
      </c>
      <c r="J56" s="195">
        <f t="shared" si="13"/>
        <v>0</v>
      </c>
    </row>
    <row r="57" spans="1:10">
      <c r="A57" s="134"/>
      <c r="B57" s="135" t="s">
        <v>451</v>
      </c>
      <c r="C57" s="142"/>
      <c r="D57" s="196"/>
      <c r="E57" s="192"/>
      <c r="F57" s="197"/>
      <c r="G57" s="197"/>
      <c r="H57" s="197"/>
      <c r="I57" s="197"/>
      <c r="J57" s="197"/>
    </row>
    <row r="58" spans="1:10" ht="33.75" thickBot="1">
      <c r="A58" s="134">
        <v>8171</v>
      </c>
      <c r="B58" s="139" t="s">
        <v>803</v>
      </c>
      <c r="C58" s="142" t="s">
        <v>804</v>
      </c>
      <c r="D58" s="179">
        <f>SUM(E58:F58)</f>
        <v>0</v>
      </c>
      <c r="E58" s="198"/>
      <c r="F58" s="178"/>
      <c r="G58" s="178"/>
      <c r="H58" s="178"/>
      <c r="I58" s="178"/>
      <c r="J58" s="178"/>
    </row>
    <row r="59" spans="1:10" ht="17.25" thickBot="1">
      <c r="A59" s="134">
        <v>8172</v>
      </c>
      <c r="B59" s="141" t="s">
        <v>805</v>
      </c>
      <c r="C59" s="142" t="s">
        <v>806</v>
      </c>
      <c r="D59" s="179">
        <f>SUM(E59:F59)</f>
        <v>0</v>
      </c>
      <c r="E59" s="199"/>
      <c r="F59" s="200"/>
      <c r="G59" s="200"/>
      <c r="H59" s="200"/>
      <c r="I59" s="200"/>
      <c r="J59" s="200"/>
    </row>
    <row r="60" spans="1:10" ht="33.75" thickBot="1">
      <c r="A60" s="134">
        <v>8190</v>
      </c>
      <c r="B60" s="135" t="s">
        <v>807</v>
      </c>
      <c r="C60" s="134"/>
      <c r="D60" s="166">
        <f>SUM(E60:F60)</f>
        <v>1334167.5008</v>
      </c>
      <c r="E60" s="189">
        <f>SUM(E62+E66-E65)</f>
        <v>70561.320999999996</v>
      </c>
      <c r="F60" s="191">
        <f>SUM(F66)</f>
        <v>1263606.1798</v>
      </c>
      <c r="G60" s="191">
        <f>+G64+G65+G68</f>
        <v>1334167.5008</v>
      </c>
      <c r="H60" s="191">
        <f t="shared" ref="H60:J60" si="14">+H64+H65+H68</f>
        <v>1334167.5008</v>
      </c>
      <c r="I60" s="191">
        <f t="shared" si="14"/>
        <v>1334167.5008</v>
      </c>
      <c r="J60" s="191">
        <f t="shared" si="14"/>
        <v>1334167.5008</v>
      </c>
    </row>
    <row r="61" spans="1:10">
      <c r="A61" s="134"/>
      <c r="B61" s="135" t="s">
        <v>375</v>
      </c>
      <c r="C61" s="134"/>
      <c r="D61" s="201"/>
      <c r="E61" s="202"/>
      <c r="F61" s="203"/>
      <c r="G61" s="203"/>
      <c r="H61" s="203"/>
      <c r="I61" s="203"/>
      <c r="J61" s="203"/>
    </row>
    <row r="62" spans="1:10" ht="33">
      <c r="A62" s="134">
        <v>8191</v>
      </c>
      <c r="B62" s="135" t="s">
        <v>808</v>
      </c>
      <c r="C62" s="134">
        <v>9320</v>
      </c>
      <c r="D62" s="204">
        <f>SUM(E62:F62)</f>
        <v>883181.08550000004</v>
      </c>
      <c r="E62" s="205">
        <v>883181.08550000004</v>
      </c>
      <c r="F62" s="206" t="s">
        <v>0</v>
      </c>
      <c r="G62" s="205">
        <v>883181.08550000004</v>
      </c>
      <c r="H62" s="205">
        <v>883181.08550000004</v>
      </c>
      <c r="I62" s="205">
        <v>883181.08550000004</v>
      </c>
      <c r="J62" s="205">
        <v>883181.08550000004</v>
      </c>
    </row>
    <row r="63" spans="1:10">
      <c r="A63" s="134"/>
      <c r="B63" s="135" t="s">
        <v>156</v>
      </c>
      <c r="C63" s="134"/>
      <c r="D63" s="174"/>
      <c r="E63" s="198"/>
      <c r="F63" s="178"/>
      <c r="G63" s="198"/>
      <c r="H63" s="198"/>
      <c r="I63" s="198"/>
      <c r="J63" s="198"/>
    </row>
    <row r="64" spans="1:10" ht="66">
      <c r="A64" s="134">
        <v>8192</v>
      </c>
      <c r="B64" s="139" t="s">
        <v>809</v>
      </c>
      <c r="C64" s="134"/>
      <c r="D64" s="204">
        <f>SUM(E64:F64)</f>
        <v>70561.320999999996</v>
      </c>
      <c r="E64" s="198">
        <v>70561.320999999996</v>
      </c>
      <c r="F64" s="207" t="s">
        <v>774</v>
      </c>
      <c r="G64" s="198">
        <v>70561.320999999996</v>
      </c>
      <c r="H64" s="198">
        <v>70561.320999999996</v>
      </c>
      <c r="I64" s="198">
        <v>70561.320999999996</v>
      </c>
      <c r="J64" s="198">
        <v>70561.320999999996</v>
      </c>
    </row>
    <row r="65" spans="1:10" ht="33.75" thickBot="1">
      <c r="A65" s="134">
        <v>8193</v>
      </c>
      <c r="B65" s="139" t="s">
        <v>810</v>
      </c>
      <c r="C65" s="134"/>
      <c r="D65" s="174">
        <f>D62-D64</f>
        <v>812619.76450000005</v>
      </c>
      <c r="E65" s="174">
        <f>E62-E64</f>
        <v>812619.76450000005</v>
      </c>
      <c r="F65" s="207" t="s">
        <v>0</v>
      </c>
      <c r="G65" s="174">
        <f t="shared" ref="G65:J65" si="15">G62-G64</f>
        <v>812619.76450000005</v>
      </c>
      <c r="H65" s="174">
        <f t="shared" si="15"/>
        <v>812619.76450000005</v>
      </c>
      <c r="I65" s="174">
        <f t="shared" si="15"/>
        <v>812619.76450000005</v>
      </c>
      <c r="J65" s="174">
        <f t="shared" si="15"/>
        <v>812619.76450000005</v>
      </c>
    </row>
    <row r="66" spans="1:10" ht="33.75" thickBot="1">
      <c r="A66" s="134">
        <v>8194</v>
      </c>
      <c r="B66" s="135" t="s">
        <v>811</v>
      </c>
      <c r="C66" s="140">
        <v>9330</v>
      </c>
      <c r="D66" s="189">
        <f>D68+D69</f>
        <v>1263606.1798</v>
      </c>
      <c r="E66" s="189">
        <f>SUM(E68,E69)</f>
        <v>0</v>
      </c>
      <c r="F66" s="191">
        <f>F68+F69</f>
        <v>1263606.1798</v>
      </c>
      <c r="G66" s="189">
        <f t="shared" ref="G66:J66" si="16">SUM(G68,G69)</f>
        <v>1263606.1798</v>
      </c>
      <c r="H66" s="189">
        <f t="shared" si="16"/>
        <v>1263606.1798</v>
      </c>
      <c r="I66" s="189">
        <f t="shared" si="16"/>
        <v>1263606.1798</v>
      </c>
      <c r="J66" s="189">
        <f t="shared" si="16"/>
        <v>1263606.1798</v>
      </c>
    </row>
    <row r="67" spans="1:10">
      <c r="A67" s="134"/>
      <c r="B67" s="135" t="s">
        <v>156</v>
      </c>
      <c r="C67" s="140"/>
      <c r="D67" s="174"/>
      <c r="E67" s="177"/>
      <c r="F67" s="178"/>
      <c r="G67" s="177"/>
      <c r="H67" s="177"/>
      <c r="I67" s="177"/>
      <c r="J67" s="177"/>
    </row>
    <row r="68" spans="1:10" ht="50.25" thickBot="1">
      <c r="A68" s="134">
        <v>8195</v>
      </c>
      <c r="B68" s="139" t="s">
        <v>812</v>
      </c>
      <c r="C68" s="140"/>
      <c r="D68" s="179">
        <f>F68</f>
        <v>450986.41529999999</v>
      </c>
      <c r="E68" s="177" t="s">
        <v>774</v>
      </c>
      <c r="F68" s="178">
        <v>450986.41529999999</v>
      </c>
      <c r="G68" s="178">
        <v>450986.41529999999</v>
      </c>
      <c r="H68" s="178">
        <v>450986.41529999999</v>
      </c>
      <c r="I68" s="178">
        <v>450986.41529999999</v>
      </c>
      <c r="J68" s="178">
        <f>+D68</f>
        <v>450986.41529999999</v>
      </c>
    </row>
    <row r="69" spans="1:10" ht="50.25" thickBot="1">
      <c r="A69" s="134">
        <v>8196</v>
      </c>
      <c r="B69" s="139" t="s">
        <v>813</v>
      </c>
      <c r="C69" s="140"/>
      <c r="D69" s="179">
        <f>F69</f>
        <v>812619.76450000005</v>
      </c>
      <c r="E69" s="177" t="s">
        <v>774</v>
      </c>
      <c r="F69" s="208">
        <f>+E65</f>
        <v>812619.76450000005</v>
      </c>
      <c r="G69" s="208">
        <v>812619.76450000005</v>
      </c>
      <c r="H69" s="208">
        <v>812619.76450000005</v>
      </c>
      <c r="I69" s="208">
        <v>812619.76450000005</v>
      </c>
      <c r="J69" s="178">
        <f>+D69</f>
        <v>812619.76450000005</v>
      </c>
    </row>
    <row r="70" spans="1:10" ht="33.75" thickBot="1">
      <c r="A70" s="134">
        <v>8197</v>
      </c>
      <c r="B70" s="135" t="s">
        <v>814</v>
      </c>
      <c r="C70" s="140"/>
      <c r="D70" s="179" t="s">
        <v>0</v>
      </c>
      <c r="E70" s="209" t="s">
        <v>774</v>
      </c>
      <c r="F70" s="210" t="s">
        <v>0</v>
      </c>
      <c r="G70" s="137"/>
      <c r="H70" s="137"/>
      <c r="I70" s="137"/>
      <c r="J70" s="137"/>
    </row>
    <row r="71" spans="1:10" ht="50.25" thickBot="1">
      <c r="A71" s="134">
        <v>8198</v>
      </c>
      <c r="B71" s="135" t="s">
        <v>815</v>
      </c>
      <c r="C71" s="140"/>
      <c r="D71" s="179">
        <f>SUM(E71:F71)</f>
        <v>0</v>
      </c>
      <c r="E71" s="177" t="s">
        <v>0</v>
      </c>
      <c r="F71" s="178"/>
      <c r="G71" s="137"/>
      <c r="H71" s="137"/>
      <c r="I71" s="137"/>
      <c r="J71" s="137"/>
    </row>
    <row r="72" spans="1:10" ht="66">
      <c r="A72" s="134">
        <v>8199</v>
      </c>
      <c r="B72" s="135" t="s">
        <v>816</v>
      </c>
      <c r="C72" s="140"/>
      <c r="D72" s="176">
        <f>SUM(E72:F72)</f>
        <v>0</v>
      </c>
      <c r="E72" s="177"/>
      <c r="F72" s="178"/>
      <c r="G72" s="137"/>
      <c r="H72" s="137"/>
      <c r="I72" s="137"/>
      <c r="J72" s="137"/>
    </row>
    <row r="73" spans="1:10" ht="33">
      <c r="A73" s="134" t="s">
        <v>817</v>
      </c>
      <c r="B73" s="139" t="s">
        <v>818</v>
      </c>
      <c r="C73" s="140"/>
      <c r="D73" s="176">
        <f>SUM(E73:F73)</f>
        <v>0</v>
      </c>
      <c r="E73" s="209"/>
      <c r="F73" s="178"/>
      <c r="G73" s="137"/>
      <c r="H73" s="137"/>
      <c r="I73" s="137"/>
      <c r="J73" s="137"/>
    </row>
    <row r="74" spans="1:10">
      <c r="A74" s="134">
        <v>8200</v>
      </c>
      <c r="B74" s="135" t="s">
        <v>819</v>
      </c>
      <c r="C74" s="134"/>
      <c r="D74" s="174">
        <f>SUM(D76)</f>
        <v>0</v>
      </c>
      <c r="E74" s="174">
        <f>SUM(E76)</f>
        <v>0</v>
      </c>
      <c r="F74" s="175">
        <f>SUM(F76)</f>
        <v>0</v>
      </c>
      <c r="G74" s="175">
        <f t="shared" ref="G74:J74" si="17">SUM(G76)</f>
        <v>0</v>
      </c>
      <c r="H74" s="175">
        <f t="shared" si="17"/>
        <v>0</v>
      </c>
      <c r="I74" s="175">
        <f t="shared" si="17"/>
        <v>0</v>
      </c>
      <c r="J74" s="175">
        <f t="shared" si="17"/>
        <v>0</v>
      </c>
    </row>
    <row r="75" spans="1:10">
      <c r="A75" s="134"/>
      <c r="B75" s="138" t="s">
        <v>154</v>
      </c>
      <c r="C75" s="134"/>
      <c r="D75" s="174"/>
      <c r="E75" s="198"/>
      <c r="F75" s="178"/>
      <c r="G75" s="178"/>
      <c r="H75" s="178"/>
      <c r="I75" s="178"/>
      <c r="J75" s="178"/>
    </row>
    <row r="76" spans="1:10">
      <c r="A76" s="134">
        <v>8210</v>
      </c>
      <c r="B76" s="139" t="s">
        <v>820</v>
      </c>
      <c r="C76" s="134"/>
      <c r="D76" s="174">
        <f>SUM(D78,D82)</f>
        <v>0</v>
      </c>
      <c r="E76" s="174">
        <f>SUM(E78,E82)</f>
        <v>0</v>
      </c>
      <c r="F76" s="175">
        <f>SUM(F78,F82)</f>
        <v>0</v>
      </c>
      <c r="G76" s="175">
        <f t="shared" ref="G76:J76" si="18">SUM(G78,G82)</f>
        <v>0</v>
      </c>
      <c r="H76" s="175">
        <f t="shared" si="18"/>
        <v>0</v>
      </c>
      <c r="I76" s="175">
        <f t="shared" si="18"/>
        <v>0</v>
      </c>
      <c r="J76" s="175">
        <f t="shared" si="18"/>
        <v>0</v>
      </c>
    </row>
    <row r="77" spans="1:10">
      <c r="A77" s="134"/>
      <c r="B77" s="139" t="s">
        <v>154</v>
      </c>
      <c r="C77" s="134"/>
      <c r="D77" s="174"/>
      <c r="E77" s="177"/>
      <c r="F77" s="178"/>
      <c r="G77" s="178"/>
      <c r="H77" s="178"/>
      <c r="I77" s="178"/>
      <c r="J77" s="178"/>
    </row>
    <row r="78" spans="1:10" ht="33">
      <c r="A78" s="134">
        <v>8211</v>
      </c>
      <c r="B78" s="135" t="s">
        <v>773</v>
      </c>
      <c r="C78" s="134"/>
      <c r="D78" s="174">
        <f>SUM(D80:D81)</f>
        <v>0</v>
      </c>
      <c r="E78" s="177" t="s">
        <v>774</v>
      </c>
      <c r="F78" s="175">
        <f>SUM(F80:F81)</f>
        <v>0</v>
      </c>
      <c r="G78" s="175">
        <f t="shared" ref="G78:J78" si="19">SUM(G80:G81)</f>
        <v>0</v>
      </c>
      <c r="H78" s="175">
        <f t="shared" si="19"/>
        <v>0</v>
      </c>
      <c r="I78" s="175">
        <f t="shared" si="19"/>
        <v>0</v>
      </c>
      <c r="J78" s="175">
        <f t="shared" si="19"/>
        <v>0</v>
      </c>
    </row>
    <row r="79" spans="1:10">
      <c r="A79" s="134"/>
      <c r="B79" s="135" t="s">
        <v>156</v>
      </c>
      <c r="C79" s="134"/>
      <c r="D79" s="174"/>
      <c r="E79" s="177"/>
      <c r="F79" s="178"/>
      <c r="G79" s="137"/>
      <c r="H79" s="137"/>
      <c r="I79" s="137"/>
      <c r="J79" s="137"/>
    </row>
    <row r="80" spans="1:10" ht="17.25" thickBot="1">
      <c r="A80" s="134">
        <v>8212</v>
      </c>
      <c r="B80" s="141" t="s">
        <v>775</v>
      </c>
      <c r="C80" s="142" t="s">
        <v>821</v>
      </c>
      <c r="D80" s="179">
        <f>SUM(E80:F80)</f>
        <v>0</v>
      </c>
      <c r="E80" s="177" t="s">
        <v>774</v>
      </c>
      <c r="F80" s="178"/>
      <c r="G80" s="137"/>
      <c r="H80" s="137"/>
      <c r="I80" s="137"/>
      <c r="J80" s="137"/>
    </row>
    <row r="81" spans="1:10" ht="17.25" thickBot="1">
      <c r="A81" s="134">
        <v>8213</v>
      </c>
      <c r="B81" s="141" t="s">
        <v>777</v>
      </c>
      <c r="C81" s="142" t="s">
        <v>822</v>
      </c>
      <c r="D81" s="179">
        <f>SUM(E81:F81)</f>
        <v>0</v>
      </c>
      <c r="E81" s="177" t="s">
        <v>774</v>
      </c>
      <c r="F81" s="178"/>
      <c r="G81" s="137"/>
      <c r="H81" s="137"/>
      <c r="I81" s="137"/>
      <c r="J81" s="137"/>
    </row>
    <row r="82" spans="1:10" ht="33">
      <c r="A82" s="134">
        <v>8220</v>
      </c>
      <c r="B82" s="135" t="s">
        <v>823</v>
      </c>
      <c r="C82" s="134"/>
      <c r="D82" s="174">
        <f>SUM(D84,D88)</f>
        <v>0</v>
      </c>
      <c r="E82" s="174">
        <f>SUM(E84,E88)</f>
        <v>0</v>
      </c>
      <c r="F82" s="175">
        <f>SUM(F84,F88)</f>
        <v>0</v>
      </c>
      <c r="G82" s="175">
        <f t="shared" ref="G82:J82" si="20">SUM(G84,G88)</f>
        <v>0</v>
      </c>
      <c r="H82" s="175">
        <f t="shared" si="20"/>
        <v>0</v>
      </c>
      <c r="I82" s="175">
        <f t="shared" si="20"/>
        <v>0</v>
      </c>
      <c r="J82" s="175">
        <f t="shared" si="20"/>
        <v>0</v>
      </c>
    </row>
    <row r="83" spans="1:10">
      <c r="A83" s="134"/>
      <c r="B83" s="135" t="s">
        <v>154</v>
      </c>
      <c r="C83" s="134"/>
      <c r="D83" s="174"/>
      <c r="E83" s="198"/>
      <c r="F83" s="178"/>
      <c r="G83" s="178"/>
      <c r="H83" s="178"/>
      <c r="I83" s="178"/>
      <c r="J83" s="178"/>
    </row>
    <row r="84" spans="1:10">
      <c r="A84" s="134">
        <v>8221</v>
      </c>
      <c r="B84" s="135" t="s">
        <v>780</v>
      </c>
      <c r="C84" s="134"/>
      <c r="D84" s="174">
        <f>SUM(D86:D87)</f>
        <v>0</v>
      </c>
      <c r="E84" s="177" t="s">
        <v>774</v>
      </c>
      <c r="F84" s="175">
        <f>SUM(F86:F87)</f>
        <v>0</v>
      </c>
      <c r="G84" s="175">
        <f t="shared" ref="G84:J84" si="21">SUM(G86:G87)</f>
        <v>0</v>
      </c>
      <c r="H84" s="175">
        <f t="shared" si="21"/>
        <v>0</v>
      </c>
      <c r="I84" s="175">
        <f t="shared" si="21"/>
        <v>0</v>
      </c>
      <c r="J84" s="175">
        <f t="shared" si="21"/>
        <v>0</v>
      </c>
    </row>
    <row r="85" spans="1:10">
      <c r="A85" s="134"/>
      <c r="B85" s="135" t="s">
        <v>451</v>
      </c>
      <c r="C85" s="134"/>
      <c r="D85" s="174"/>
      <c r="E85" s="177"/>
      <c r="F85" s="178"/>
      <c r="G85" s="137"/>
      <c r="H85" s="137"/>
      <c r="I85" s="137"/>
      <c r="J85" s="137"/>
    </row>
    <row r="86" spans="1:10" ht="17.25" thickBot="1">
      <c r="A86" s="134">
        <v>8222</v>
      </c>
      <c r="B86" s="139" t="s">
        <v>781</v>
      </c>
      <c r="C86" s="142" t="s">
        <v>824</v>
      </c>
      <c r="D86" s="179">
        <f>SUM(E86:F86)</f>
        <v>0</v>
      </c>
      <c r="E86" s="177" t="s">
        <v>774</v>
      </c>
      <c r="F86" s="178"/>
      <c r="G86" s="137"/>
      <c r="H86" s="137"/>
      <c r="I86" s="137"/>
      <c r="J86" s="137"/>
    </row>
    <row r="87" spans="1:10" ht="17.25" thickBot="1">
      <c r="A87" s="134">
        <v>8230</v>
      </c>
      <c r="B87" s="139" t="s">
        <v>785</v>
      </c>
      <c r="C87" s="142" t="s">
        <v>825</v>
      </c>
      <c r="D87" s="179">
        <f>SUM(E87:F87)</f>
        <v>0</v>
      </c>
      <c r="E87" s="177" t="s">
        <v>774</v>
      </c>
      <c r="F87" s="178"/>
      <c r="G87" s="137"/>
      <c r="H87" s="137"/>
      <c r="I87" s="137"/>
      <c r="J87" s="137"/>
    </row>
    <row r="88" spans="1:10">
      <c r="A88" s="134">
        <v>8240</v>
      </c>
      <c r="B88" s="135" t="s">
        <v>789</v>
      </c>
      <c r="C88" s="134"/>
      <c r="D88" s="174">
        <f>SUM(D90:D91)</f>
        <v>0</v>
      </c>
      <c r="E88" s="174">
        <f>SUM(E90:E91)</f>
        <v>0</v>
      </c>
      <c r="F88" s="175">
        <f>SUM(F90:F91)</f>
        <v>0</v>
      </c>
      <c r="G88" s="175">
        <f t="shared" ref="G88:J88" si="22">SUM(G90:G91)</f>
        <v>0</v>
      </c>
      <c r="H88" s="175">
        <f t="shared" si="22"/>
        <v>0</v>
      </c>
      <c r="I88" s="175">
        <f t="shared" si="22"/>
        <v>0</v>
      </c>
      <c r="J88" s="175">
        <f t="shared" si="22"/>
        <v>0</v>
      </c>
    </row>
    <row r="89" spans="1:10">
      <c r="A89" s="134"/>
      <c r="B89" s="135" t="s">
        <v>451</v>
      </c>
      <c r="C89" s="134"/>
      <c r="D89" s="174"/>
      <c r="E89" s="198"/>
      <c r="F89" s="178"/>
      <c r="G89" s="137"/>
      <c r="H89" s="137"/>
      <c r="I89" s="137"/>
      <c r="J89" s="137"/>
    </row>
    <row r="90" spans="1:10" ht="17.25" thickBot="1">
      <c r="A90" s="134">
        <v>8241</v>
      </c>
      <c r="B90" s="139" t="s">
        <v>826</v>
      </c>
      <c r="C90" s="142" t="s">
        <v>824</v>
      </c>
      <c r="D90" s="179">
        <f>SUM(E90:F90)</f>
        <v>0</v>
      </c>
      <c r="E90" s="198"/>
      <c r="F90" s="178" t="s">
        <v>0</v>
      </c>
      <c r="G90" s="137"/>
      <c r="H90" s="137"/>
      <c r="I90" s="137"/>
      <c r="J90" s="137"/>
    </row>
    <row r="91" spans="1:10" ht="17.25" thickBot="1">
      <c r="A91" s="134">
        <v>8250</v>
      </c>
      <c r="B91" s="139" t="s">
        <v>793</v>
      </c>
      <c r="C91" s="142" t="s">
        <v>825</v>
      </c>
      <c r="D91" s="179">
        <f>SUM(E91:F91)</f>
        <v>0</v>
      </c>
      <c r="E91" s="199"/>
      <c r="F91" s="200" t="s">
        <v>0</v>
      </c>
      <c r="G91" s="137"/>
      <c r="H91" s="137"/>
      <c r="I91" s="137"/>
      <c r="J91" s="137"/>
    </row>
  </sheetData>
  <protectedRanges>
    <protectedRange sqref="F81" name="Range23_1"/>
    <protectedRange sqref="F59:J59" name="Range21_1"/>
    <protectedRange sqref="E72:F73 F80:F81 F86:F87 E90:E91 D89:F89 D85:F85 D79:F79 D83:J83 D75:J75 D77:J77" name="Range5_1"/>
    <protectedRange sqref="E47:E48 D53 F37:J38 D40:J40 D42:J42 D36:J36 G43:J44 G46:J48 D50:J50 F53:J55 D52:J52 E43:E44 D46:F46" name="Range3_1"/>
    <protectedRange sqref="F25:J26 D28:J28 F33:J34 D32:J32 D30:J30 D24:J24 D20:J20 D18:J18" name="Range2_1"/>
    <protectedRange sqref="E58:J59 D61:J61 D57:J57 G62:J64 D63:J63 D67:J67 E62:E64 F68:F71 G68:J69" name="Range4_1"/>
    <protectedRange sqref="F58:J58" name="Range20_1"/>
    <protectedRange sqref="F53:J53" name="Range22_1"/>
    <protectedRange sqref="D22:J22" name="Range2_2_1"/>
  </protectedRanges>
  <mergeCells count="13">
    <mergeCell ref="G7:J7"/>
    <mergeCell ref="G8:J8"/>
    <mergeCell ref="G6:J6"/>
    <mergeCell ref="G2:J2"/>
    <mergeCell ref="G3:J3"/>
    <mergeCell ref="G4:J4"/>
    <mergeCell ref="G9:J9"/>
    <mergeCell ref="E10:I10"/>
    <mergeCell ref="A12:J12"/>
    <mergeCell ref="A13:J13"/>
    <mergeCell ref="D14:D15"/>
    <mergeCell ref="E14:F14"/>
    <mergeCell ref="G14:J14"/>
  </mergeCells>
  <pageMargins left="0.2" right="0.2" top="0.25" bottom="0.25" header="0" footer="0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789"/>
  <sheetViews>
    <sheetView tabSelected="1" zoomScaleSheetLayoutView="85" workbookViewId="0">
      <selection activeCell="Q637" sqref="Q637"/>
    </sheetView>
  </sheetViews>
  <sheetFormatPr defaultRowHeight="13.5"/>
  <cols>
    <col min="1" max="1" width="12.7109375" style="2" bestFit="1" customWidth="1"/>
    <col min="2" max="2" width="6.140625" style="2" customWidth="1"/>
    <col min="3" max="3" width="3.85546875" style="2" customWidth="1"/>
    <col min="4" max="4" width="4.140625" style="2" customWidth="1"/>
    <col min="5" max="5" width="3.140625" style="2" customWidth="1"/>
    <col min="6" max="6" width="45.85546875" style="226" customWidth="1"/>
    <col min="7" max="7" width="5.85546875" style="2" customWidth="1"/>
    <col min="8" max="14" width="13.42578125" style="2" customWidth="1"/>
    <col min="15" max="15" width="9.140625" style="2"/>
    <col min="16" max="16" width="9.5703125" style="2" bestFit="1" customWidth="1"/>
    <col min="17" max="17" width="11.28515625" style="2" bestFit="1" customWidth="1"/>
    <col min="18" max="18" width="11.42578125" style="2" bestFit="1" customWidth="1"/>
    <col min="19" max="19" width="10.7109375" style="2" bestFit="1" customWidth="1"/>
    <col min="20" max="20" width="11.140625" style="2" bestFit="1" customWidth="1"/>
    <col min="21" max="21" width="11.42578125" style="2" bestFit="1" customWidth="1"/>
    <col min="22" max="22" width="11" style="2" bestFit="1" customWidth="1"/>
    <col min="23" max="23" width="10" style="2" bestFit="1" customWidth="1"/>
    <col min="24" max="16384" width="9.140625" style="2"/>
  </cols>
  <sheetData>
    <row r="1" spans="1:38">
      <c r="K1" s="94"/>
      <c r="L1" s="147"/>
      <c r="M1" s="147"/>
      <c r="N1" s="147" t="s">
        <v>873</v>
      </c>
    </row>
    <row r="2" spans="1:38" s="94" customFormat="1" ht="13.5" customHeight="1">
      <c r="B2" s="147"/>
      <c r="D2" s="147"/>
      <c r="F2" s="147"/>
      <c r="G2" s="147"/>
      <c r="H2" s="19"/>
      <c r="I2" s="19"/>
      <c r="J2" s="19"/>
      <c r="K2" s="260" t="s">
        <v>601</v>
      </c>
      <c r="L2" s="260"/>
      <c r="M2" s="260"/>
      <c r="N2" s="260"/>
    </row>
    <row r="3" spans="1:38" s="94" customFormat="1" ht="13.5" customHeight="1">
      <c r="B3" s="147"/>
      <c r="D3" s="147"/>
      <c r="F3" s="147"/>
      <c r="G3" s="147"/>
      <c r="H3" s="19"/>
      <c r="I3" s="19"/>
      <c r="J3" s="19"/>
      <c r="K3" s="260" t="s">
        <v>874</v>
      </c>
      <c r="L3" s="260"/>
      <c r="M3" s="260"/>
      <c r="N3" s="260"/>
    </row>
    <row r="4" spans="1:38" s="94" customFormat="1" ht="13.5" customHeight="1">
      <c r="B4" s="147"/>
      <c r="D4" s="147"/>
      <c r="F4" s="147"/>
      <c r="G4" s="147"/>
      <c r="H4" s="19"/>
      <c r="I4" s="236"/>
      <c r="J4" s="19"/>
      <c r="K4" s="261" t="s">
        <v>868</v>
      </c>
      <c r="L4" s="261"/>
      <c r="M4" s="261"/>
      <c r="N4" s="261"/>
    </row>
    <row r="5" spans="1:38" s="94" customFormat="1" ht="27" customHeight="1">
      <c r="B5" s="147"/>
      <c r="D5" s="147"/>
      <c r="F5" s="147"/>
      <c r="G5" s="147"/>
      <c r="H5" s="214"/>
      <c r="I5" s="214"/>
      <c r="J5" s="214"/>
      <c r="L5" s="147"/>
      <c r="M5" s="147"/>
      <c r="N5" s="147" t="s">
        <v>865</v>
      </c>
    </row>
    <row r="6" spans="1:38" s="94" customFormat="1" ht="13.5" customHeight="1">
      <c r="B6" s="147"/>
      <c r="D6" s="147"/>
      <c r="F6" s="147"/>
      <c r="G6" s="147"/>
      <c r="H6" s="236"/>
      <c r="I6" s="236"/>
      <c r="J6" s="19"/>
      <c r="K6" s="260" t="s">
        <v>601</v>
      </c>
      <c r="L6" s="260"/>
      <c r="M6" s="260"/>
      <c r="N6" s="260"/>
    </row>
    <row r="7" spans="1:38" s="94" customFormat="1" ht="13.5" customHeight="1">
      <c r="B7" s="147"/>
      <c r="D7" s="147"/>
      <c r="F7" s="147"/>
      <c r="G7" s="147"/>
      <c r="H7" s="227"/>
      <c r="I7" s="227"/>
      <c r="J7" s="227"/>
      <c r="K7" s="260" t="s">
        <v>864</v>
      </c>
      <c r="L7" s="260"/>
      <c r="M7" s="260"/>
      <c r="N7" s="260"/>
    </row>
    <row r="8" spans="1:38" s="94" customFormat="1" ht="13.5" customHeight="1">
      <c r="B8" s="147"/>
      <c r="D8" s="147"/>
      <c r="F8" s="147"/>
      <c r="G8" s="147"/>
      <c r="H8" s="19"/>
      <c r="I8" s="19"/>
      <c r="J8" s="19"/>
      <c r="K8" s="260" t="s">
        <v>863</v>
      </c>
      <c r="L8" s="260"/>
      <c r="M8" s="260"/>
      <c r="N8" s="260"/>
      <c r="Q8" s="22">
        <f>+H15-'5.Havelurd '!D17-'1. Ekamutner'!D16</f>
        <v>0</v>
      </c>
      <c r="R8" s="22">
        <f>+I15-'5.Havelurd '!E17-'1. Ekamutner'!E16</f>
        <v>0</v>
      </c>
      <c r="S8" s="22">
        <f>+J15-'5.Havelurd '!F17-'1. Ekamutner'!F16</f>
        <v>0</v>
      </c>
      <c r="T8" s="22">
        <f>+K15-'5.Havelurd '!G17-'1. Ekamutner'!G16</f>
        <v>0</v>
      </c>
      <c r="U8" s="22">
        <f>+L15-'5.Havelurd '!H17-'1. Ekamutner'!H16</f>
        <v>0</v>
      </c>
      <c r="V8" s="22">
        <f>+M15-'5.Havelurd '!I17-'1. Ekamutner'!I16</f>
        <v>0</v>
      </c>
      <c r="W8" s="22">
        <f>+N15-'5.Havelurd '!J17-'1. Ekamutner'!J16</f>
        <v>0</v>
      </c>
    </row>
    <row r="9" spans="1:38" s="20" customFormat="1" ht="12.75" customHeight="1">
      <c r="B9" s="18"/>
      <c r="C9" s="19"/>
      <c r="D9" s="18"/>
      <c r="F9" s="226"/>
      <c r="G9" s="18"/>
      <c r="H9" s="228"/>
      <c r="I9" s="228"/>
      <c r="J9" s="228"/>
      <c r="K9" s="228"/>
      <c r="L9" s="228"/>
      <c r="M9" s="228"/>
      <c r="N9" s="228"/>
      <c r="Q9" s="22"/>
      <c r="R9" s="22"/>
      <c r="S9" s="22"/>
      <c r="T9" s="22"/>
      <c r="U9" s="22"/>
      <c r="V9" s="22"/>
      <c r="W9" s="22"/>
    </row>
    <row r="10" spans="1:38" ht="20.25">
      <c r="B10" s="65" t="s">
        <v>142</v>
      </c>
      <c r="F10" s="235" t="s">
        <v>636</v>
      </c>
      <c r="G10" s="235"/>
      <c r="H10" s="228"/>
      <c r="I10" s="228"/>
      <c r="J10" s="228"/>
      <c r="K10" s="228"/>
      <c r="L10" s="228"/>
      <c r="M10" s="228"/>
      <c r="N10" s="228"/>
      <c r="Q10" s="22">
        <f>+H15-'3.Tntesagitakan tsaxs'!D17</f>
        <v>0</v>
      </c>
      <c r="R10" s="22">
        <f>+I15-'3.Tntesagitakan tsaxs'!E17</f>
        <v>0</v>
      </c>
      <c r="S10" s="22">
        <f>+J15-'3.Tntesagitakan tsaxs'!F17</f>
        <v>0</v>
      </c>
      <c r="T10" s="22">
        <f>+K15-'3.Tntesagitakan tsaxs'!G17</f>
        <v>0</v>
      </c>
      <c r="U10" s="22">
        <f>+L15-'3.Tntesagitakan tsaxs'!H17</f>
        <v>0</v>
      </c>
      <c r="V10" s="22">
        <f>+M15-'3.Tntesagitakan tsaxs'!I17</f>
        <v>0</v>
      </c>
      <c r="W10" s="22">
        <f>+N15-'3.Tntesagitakan tsaxs'!J17</f>
        <v>0</v>
      </c>
    </row>
    <row r="11" spans="1:38" ht="54" customHeight="1">
      <c r="B11" s="304" t="s">
        <v>602</v>
      </c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Q11" s="22">
        <f>+H15-'2.Gorcarakan tsaxs'!F16</f>
        <v>0</v>
      </c>
      <c r="R11" s="22">
        <f>+I15-'2.Gorcarakan tsaxs'!G16</f>
        <v>0</v>
      </c>
      <c r="S11" s="22">
        <f>+J15-'2.Gorcarakan tsaxs'!H16</f>
        <v>0</v>
      </c>
      <c r="T11" s="22">
        <f>+K15-'2.Gorcarakan tsaxs'!I16</f>
        <v>0</v>
      </c>
      <c r="U11" s="22">
        <f>+L15-'2.Gorcarakan tsaxs'!J16</f>
        <v>0</v>
      </c>
      <c r="V11" s="22">
        <f>+M15-'2.Gorcarakan tsaxs'!K16</f>
        <v>0</v>
      </c>
      <c r="W11" s="22">
        <f>+N15-'2.Gorcarakan tsaxs'!L16</f>
        <v>0</v>
      </c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</row>
    <row r="12" spans="1:38" ht="17.25" customHeight="1">
      <c r="B12" s="299" t="s">
        <v>143</v>
      </c>
      <c r="C12" s="300" t="s">
        <v>144</v>
      </c>
      <c r="D12" s="306" t="s">
        <v>145</v>
      </c>
      <c r="E12" s="301" t="s">
        <v>146</v>
      </c>
      <c r="F12" s="302" t="s">
        <v>147</v>
      </c>
      <c r="G12" s="305" t="s">
        <v>148</v>
      </c>
      <c r="H12" s="307" t="s">
        <v>598</v>
      </c>
      <c r="I12" s="232" t="s">
        <v>149</v>
      </c>
      <c r="J12" s="233"/>
      <c r="K12" s="265" t="s">
        <v>368</v>
      </c>
      <c r="L12" s="266"/>
      <c r="M12" s="266"/>
      <c r="N12" s="267"/>
      <c r="Q12" s="22"/>
      <c r="R12" s="22"/>
      <c r="S12" s="22"/>
      <c r="T12" s="22"/>
      <c r="U12" s="22"/>
      <c r="V12" s="22"/>
      <c r="W12" s="22"/>
    </row>
    <row r="13" spans="1:38" ht="64.5" customHeight="1">
      <c r="B13" s="299"/>
      <c r="C13" s="299"/>
      <c r="D13" s="299"/>
      <c r="E13" s="299"/>
      <c r="F13" s="303"/>
      <c r="G13" s="305"/>
      <c r="H13" s="308"/>
      <c r="I13" s="14" t="s">
        <v>150</v>
      </c>
      <c r="J13" s="14" t="s">
        <v>151</v>
      </c>
      <c r="K13" s="245" t="s">
        <v>187</v>
      </c>
      <c r="L13" s="245" t="s">
        <v>188</v>
      </c>
      <c r="M13" s="245" t="s">
        <v>189</v>
      </c>
      <c r="N13" s="245" t="s">
        <v>190</v>
      </c>
      <c r="Q13" s="22">
        <v>9193112.1372999996</v>
      </c>
      <c r="R13" s="22">
        <v>6767596.0294999992</v>
      </c>
      <c r="S13" s="22">
        <v>3351499.1077999999</v>
      </c>
      <c r="T13" s="22">
        <v>4280618.3073637141</v>
      </c>
      <c r="U13" s="22">
        <v>5968284.8972434709</v>
      </c>
      <c r="V13" s="22">
        <v>7657317.9902754091</v>
      </c>
      <c r="W13" s="22">
        <v>9193112.1372999996</v>
      </c>
    </row>
    <row r="14" spans="1:38">
      <c r="B14" s="66">
        <v>1</v>
      </c>
      <c r="C14" s="66">
        <v>2</v>
      </c>
      <c r="D14" s="66">
        <v>3</v>
      </c>
      <c r="E14" s="66">
        <v>4</v>
      </c>
      <c r="F14" s="78" t="s">
        <v>181</v>
      </c>
      <c r="G14" s="66"/>
      <c r="H14" s="66" t="s">
        <v>752</v>
      </c>
      <c r="I14" s="66">
        <v>7</v>
      </c>
      <c r="J14" s="66">
        <v>8</v>
      </c>
      <c r="K14" s="243">
        <v>7</v>
      </c>
      <c r="L14" s="244">
        <v>8</v>
      </c>
      <c r="M14" s="244">
        <v>9</v>
      </c>
      <c r="N14" s="244">
        <v>10</v>
      </c>
      <c r="Q14" s="22"/>
      <c r="R14" s="22"/>
      <c r="S14" s="22"/>
      <c r="T14" s="22"/>
      <c r="U14" s="22"/>
      <c r="V14" s="22"/>
      <c r="W14" s="22"/>
    </row>
    <row r="15" spans="1:38" ht="66.75" customHeight="1">
      <c r="A15" s="165"/>
      <c r="B15" s="66">
        <v>2000</v>
      </c>
      <c r="C15" s="66" t="s">
        <v>1</v>
      </c>
      <c r="D15" s="66" t="s">
        <v>0</v>
      </c>
      <c r="E15" s="66" t="s">
        <v>0</v>
      </c>
      <c r="F15" s="73" t="s">
        <v>152</v>
      </c>
      <c r="G15" s="66"/>
      <c r="H15" s="22">
        <f>+H16+H130+H163+H219+H354+H411+H467+H541+H639+H709+H776</f>
        <v>9193112.1372999977</v>
      </c>
      <c r="I15" s="22">
        <f>+I16+I130+I163+I219+I354+I411+I467+I541+I639+I709+I776</f>
        <v>6767596.0294999992</v>
      </c>
      <c r="J15" s="22">
        <f>+J16+J130+J163+J219+J354+J411+J467+J541+J639+J709</f>
        <v>3351499.107799999</v>
      </c>
      <c r="K15" s="22">
        <f>K16+K130+K163+K219+K354+K411+K467+K541+K639+K709</f>
        <v>4280618.3073637141</v>
      </c>
      <c r="L15" s="22">
        <f>L16+L130+L163+L219+L354+L411+L467+L541+L639+L709</f>
        <v>5968284.8972434709</v>
      </c>
      <c r="M15" s="22">
        <f>M16+M130+M163+M219+M354+M411+M467+M541+M639+M709</f>
        <v>7657317.9902754091</v>
      </c>
      <c r="N15" s="22">
        <f>N16+N130+N163+N219+N354+N411+N467+N541+N639+N709</f>
        <v>9193112.1372999977</v>
      </c>
      <c r="Q15" s="22">
        <f>+H15-Q13</f>
        <v>0</v>
      </c>
      <c r="R15" s="22">
        <f t="shared" ref="R15:W15" si="0">+I15-R13</f>
        <v>0</v>
      </c>
      <c r="S15" s="22">
        <f t="shared" si="0"/>
        <v>0</v>
      </c>
      <c r="T15" s="22">
        <f t="shared" si="0"/>
        <v>0</v>
      </c>
      <c r="U15" s="22">
        <f t="shared" si="0"/>
        <v>0</v>
      </c>
      <c r="V15" s="22">
        <f t="shared" si="0"/>
        <v>0</v>
      </c>
      <c r="W15" s="22">
        <f t="shared" si="0"/>
        <v>0</v>
      </c>
    </row>
    <row r="16" spans="1:38" ht="66.75" customHeight="1">
      <c r="A16" s="165"/>
      <c r="B16" s="66">
        <v>2100</v>
      </c>
      <c r="C16" s="66" t="s">
        <v>2</v>
      </c>
      <c r="D16" s="66">
        <v>0</v>
      </c>
      <c r="E16" s="66">
        <v>0</v>
      </c>
      <c r="F16" s="73" t="s">
        <v>153</v>
      </c>
      <c r="G16" s="66"/>
      <c r="H16" s="22">
        <f>+H18+H68+H88+H94+H101+H114+H120</f>
        <v>1225290.3295</v>
      </c>
      <c r="I16" s="22">
        <f>+I18+I68+I88+I94+I101+I114+I120</f>
        <v>1157861.1295</v>
      </c>
      <c r="J16" s="22">
        <f>+J18+J68+J88+J94+J101+J114+J120</f>
        <v>67429.200000000012</v>
      </c>
      <c r="K16" s="22">
        <f>+K18+K66+K88+K94+K101+K114+K120</f>
        <v>393895.36776021309</v>
      </c>
      <c r="L16" s="22">
        <f>+L18+L66+L88+L94+L101+L114+L120</f>
        <v>789308.7870381145</v>
      </c>
      <c r="M16" s="22">
        <f>+M18+M66+M88+M94+M101+M114+M120</f>
        <v>1019905.642414286</v>
      </c>
      <c r="N16" s="22">
        <f>+N18+N66+N88+N94+N101+N114+N120</f>
        <v>1225290.3295</v>
      </c>
    </row>
    <row r="17" spans="1:14">
      <c r="A17" s="165"/>
      <c r="B17" s="66"/>
      <c r="C17" s="66"/>
      <c r="D17" s="66"/>
      <c r="E17" s="66"/>
      <c r="F17" s="73" t="s">
        <v>154</v>
      </c>
      <c r="G17" s="66"/>
      <c r="H17" s="22"/>
      <c r="I17" s="22"/>
      <c r="J17" s="22"/>
      <c r="K17" s="22"/>
      <c r="L17" s="22"/>
      <c r="M17" s="22"/>
      <c r="N17" s="22"/>
    </row>
    <row r="18" spans="1:14" ht="68.25" customHeight="1">
      <c r="A18" s="165"/>
      <c r="B18" s="66">
        <v>2110</v>
      </c>
      <c r="C18" s="66" t="s">
        <v>2</v>
      </c>
      <c r="D18" s="66">
        <v>1</v>
      </c>
      <c r="E18" s="66">
        <v>0</v>
      </c>
      <c r="F18" s="73" t="s">
        <v>155</v>
      </c>
      <c r="G18" s="66"/>
      <c r="H18" s="22">
        <f>H20+H51+H55</f>
        <v>1015494.3295000001</v>
      </c>
      <c r="I18" s="22">
        <f t="shared" ref="I18:N18" si="1">I20+I51+I55</f>
        <v>963565.12950000004</v>
      </c>
      <c r="J18" s="22">
        <f t="shared" si="1"/>
        <v>51929.200000000004</v>
      </c>
      <c r="K18" s="22">
        <f t="shared" si="1"/>
        <v>340076.54871259403</v>
      </c>
      <c r="L18" s="22">
        <f t="shared" si="1"/>
        <v>681075.02195874939</v>
      </c>
      <c r="M18" s="22">
        <f t="shared" si="1"/>
        <v>826526.89638253988</v>
      </c>
      <c r="N18" s="22">
        <f t="shared" si="1"/>
        <v>1015494.3295000001</v>
      </c>
    </row>
    <row r="19" spans="1:14">
      <c r="A19" s="165"/>
      <c r="B19" s="66"/>
      <c r="C19" s="66"/>
      <c r="D19" s="66"/>
      <c r="E19" s="66"/>
      <c r="F19" s="73" t="s">
        <v>156</v>
      </c>
      <c r="G19" s="66"/>
      <c r="H19" s="22"/>
      <c r="I19" s="22"/>
      <c r="J19" s="22"/>
      <c r="K19" s="22"/>
      <c r="L19" s="22"/>
      <c r="M19" s="22"/>
      <c r="N19" s="22"/>
    </row>
    <row r="20" spans="1:14" ht="35.25" customHeight="1">
      <c r="A20" s="165"/>
      <c r="B20" s="66">
        <v>2111</v>
      </c>
      <c r="C20" s="66" t="s">
        <v>2</v>
      </c>
      <c r="D20" s="66">
        <v>1</v>
      </c>
      <c r="E20" s="66">
        <v>1</v>
      </c>
      <c r="F20" s="73" t="s">
        <v>157</v>
      </c>
      <c r="G20" s="66"/>
      <c r="H20" s="22">
        <f>SUM(H21:H50)</f>
        <v>1015494.3295000001</v>
      </c>
      <c r="I20" s="22">
        <f t="shared" ref="I20:N20" si="2">SUM(I21:I50)</f>
        <v>963565.12950000004</v>
      </c>
      <c r="J20" s="22">
        <f t="shared" si="2"/>
        <v>51929.200000000004</v>
      </c>
      <c r="K20" s="22">
        <f t="shared" si="2"/>
        <v>340076.54871259403</v>
      </c>
      <c r="L20" s="22">
        <f t="shared" si="2"/>
        <v>681075.02195874939</v>
      </c>
      <c r="M20" s="22">
        <f t="shared" si="2"/>
        <v>826526.89638253988</v>
      </c>
      <c r="N20" s="22">
        <f t="shared" si="2"/>
        <v>1015494.3295000001</v>
      </c>
    </row>
    <row r="21" spans="1:14" ht="35.25" customHeight="1">
      <c r="A21" s="165"/>
      <c r="B21" s="66"/>
      <c r="C21" s="66"/>
      <c r="D21" s="66"/>
      <c r="E21" s="66"/>
      <c r="F21" s="73" t="s">
        <v>158</v>
      </c>
      <c r="G21" s="66">
        <v>4111</v>
      </c>
      <c r="H21" s="22">
        <f>+I21+J21</f>
        <v>723904.12950000004</v>
      </c>
      <c r="I21" s="22">
        <v>723904.12950000004</v>
      </c>
      <c r="J21" s="22"/>
      <c r="K21" s="156">
        <v>257362.25347449869</v>
      </c>
      <c r="L21" s="156">
        <v>537926.91322859027</v>
      </c>
      <c r="M21" s="156">
        <v>584391.4</v>
      </c>
      <c r="N21" s="156">
        <f>+H21</f>
        <v>723904.12950000004</v>
      </c>
    </row>
    <row r="22" spans="1:14" ht="27">
      <c r="A22" s="165"/>
      <c r="B22" s="66"/>
      <c r="C22" s="66"/>
      <c r="D22" s="66"/>
      <c r="E22" s="66"/>
      <c r="F22" s="73" t="s">
        <v>859</v>
      </c>
      <c r="G22" s="66" t="s">
        <v>21</v>
      </c>
      <c r="H22" s="22">
        <f t="shared" ref="H22:H41" si="3">+I22+J22</f>
        <v>45000</v>
      </c>
      <c r="I22" s="22">
        <v>45000</v>
      </c>
      <c r="J22" s="22"/>
      <c r="K22" s="156">
        <f t="shared" ref="K22" si="4">+H22/252*60</f>
        <v>10714.285714285716</v>
      </c>
      <c r="L22" s="156">
        <f t="shared" ref="L22" si="5">+H22/252*121</f>
        <v>21607.142857142859</v>
      </c>
      <c r="M22" s="156">
        <f t="shared" ref="M22" si="6">+H22/252*187</f>
        <v>33392.857142857145</v>
      </c>
      <c r="N22" s="156">
        <f t="shared" ref="N22:N50" si="7">+H22</f>
        <v>45000</v>
      </c>
    </row>
    <row r="23" spans="1:14">
      <c r="A23" s="165"/>
      <c r="B23" s="66"/>
      <c r="C23" s="66"/>
      <c r="D23" s="66"/>
      <c r="E23" s="66"/>
      <c r="F23" s="74" t="s">
        <v>182</v>
      </c>
      <c r="G23" s="66">
        <v>4212</v>
      </c>
      <c r="H23" s="22">
        <f t="shared" si="3"/>
        <v>21196</v>
      </c>
      <c r="I23" s="22">
        <v>21196</v>
      </c>
      <c r="J23" s="22"/>
      <c r="K23" s="156">
        <v>9561.8476190476194</v>
      </c>
      <c r="L23" s="156">
        <v>15660.879365079367</v>
      </c>
      <c r="M23" s="156">
        <v>21196.0317</v>
      </c>
      <c r="N23" s="156">
        <f t="shared" ref="N23:N26" si="8">+H23</f>
        <v>21196</v>
      </c>
    </row>
    <row r="24" spans="1:14">
      <c r="A24" s="165"/>
      <c r="B24" s="66"/>
      <c r="C24" s="66"/>
      <c r="D24" s="66"/>
      <c r="E24" s="66"/>
      <c r="F24" s="73" t="s">
        <v>159</v>
      </c>
      <c r="G24" s="66">
        <v>4213</v>
      </c>
      <c r="H24" s="22">
        <f t="shared" si="3"/>
        <v>7302.9</v>
      </c>
      <c r="I24" s="22">
        <v>7302.9</v>
      </c>
      <c r="J24" s="22"/>
      <c r="K24" s="156">
        <v>4231.1857142857143</v>
      </c>
      <c r="L24" s="156">
        <v>5998.9511904761912</v>
      </c>
      <c r="M24" s="156">
        <v>6511.61547619048</v>
      </c>
      <c r="N24" s="156">
        <f t="shared" si="8"/>
        <v>7302.9</v>
      </c>
    </row>
    <row r="25" spans="1:14">
      <c r="A25" s="165"/>
      <c r="B25" s="66"/>
      <c r="C25" s="66"/>
      <c r="D25" s="66"/>
      <c r="E25" s="66"/>
      <c r="F25" s="73" t="s">
        <v>160</v>
      </c>
      <c r="G25" s="66">
        <v>4214</v>
      </c>
      <c r="H25" s="22">
        <f t="shared" si="3"/>
        <v>9092.6</v>
      </c>
      <c r="I25" s="22">
        <v>9092.6</v>
      </c>
      <c r="J25" s="22"/>
      <c r="K25" s="156">
        <v>3314.0047619047623</v>
      </c>
      <c r="L25" s="156">
        <v>5514.99126984127</v>
      </c>
      <c r="M25" s="156">
        <v>7896.3865079365078</v>
      </c>
      <c r="N25" s="156">
        <f t="shared" si="8"/>
        <v>9092.6</v>
      </c>
    </row>
    <row r="26" spans="1:14">
      <c r="A26" s="165"/>
      <c r="B26" s="66"/>
      <c r="C26" s="66"/>
      <c r="D26" s="66"/>
      <c r="E26" s="66"/>
      <c r="F26" s="73" t="s">
        <v>161</v>
      </c>
      <c r="G26" s="66">
        <v>4215</v>
      </c>
      <c r="H26" s="22">
        <f t="shared" si="3"/>
        <v>21779.5</v>
      </c>
      <c r="I26" s="22">
        <v>21779.5</v>
      </c>
      <c r="J26" s="22"/>
      <c r="K26" s="156">
        <v>7829.0952380952385</v>
      </c>
      <c r="L26" s="156">
        <v>13101.117063492064</v>
      </c>
      <c r="M26" s="156">
        <v>18805.271825396827</v>
      </c>
      <c r="N26" s="156">
        <f t="shared" si="8"/>
        <v>21779.5</v>
      </c>
    </row>
    <row r="27" spans="1:14">
      <c r="A27" s="165"/>
      <c r="B27" s="66"/>
      <c r="C27" s="66"/>
      <c r="D27" s="66"/>
      <c r="E27" s="66"/>
      <c r="F27" s="73" t="s">
        <v>600</v>
      </c>
      <c r="G27" s="66">
        <v>4216</v>
      </c>
      <c r="H27" s="22">
        <f t="shared" si="3"/>
        <v>7934.4</v>
      </c>
      <c r="I27" s="22">
        <v>7934.4</v>
      </c>
      <c r="J27" s="22"/>
      <c r="K27" s="156">
        <v>5037.8285714285712</v>
      </c>
      <c r="L27" s="156">
        <v>7548.4190476189997</v>
      </c>
      <c r="M27" s="156">
        <v>7548.4190476189997</v>
      </c>
      <c r="N27" s="156">
        <f t="shared" si="7"/>
        <v>7934.4</v>
      </c>
    </row>
    <row r="28" spans="1:14">
      <c r="A28" s="165"/>
      <c r="B28" s="66"/>
      <c r="C28" s="66"/>
      <c r="D28" s="66"/>
      <c r="E28" s="66"/>
      <c r="F28" s="73" t="s">
        <v>162</v>
      </c>
      <c r="G28" s="66">
        <v>4217</v>
      </c>
      <c r="H28" s="22">
        <f t="shared" si="3"/>
        <v>0</v>
      </c>
      <c r="I28" s="22">
        <v>0</v>
      </c>
      <c r="J28" s="22"/>
      <c r="K28" s="156">
        <v>0</v>
      </c>
      <c r="L28" s="156">
        <v>0</v>
      </c>
      <c r="M28" s="156">
        <v>0</v>
      </c>
      <c r="N28" s="156">
        <f t="shared" si="7"/>
        <v>0</v>
      </c>
    </row>
    <row r="29" spans="1:14">
      <c r="A29" s="165"/>
      <c r="B29" s="66"/>
      <c r="C29" s="66"/>
      <c r="D29" s="66"/>
      <c r="E29" s="66"/>
      <c r="F29" s="73" t="s">
        <v>163</v>
      </c>
      <c r="G29" s="66">
        <v>4221</v>
      </c>
      <c r="H29" s="22">
        <f t="shared" si="3"/>
        <v>1000</v>
      </c>
      <c r="I29" s="22">
        <v>1000</v>
      </c>
      <c r="J29" s="22"/>
      <c r="K29" s="156">
        <v>238.0952380952381</v>
      </c>
      <c r="L29" s="156">
        <v>480.15873015873018</v>
      </c>
      <c r="M29" s="156">
        <v>742.06349206349205</v>
      </c>
      <c r="N29" s="156">
        <f t="shared" si="7"/>
        <v>1000</v>
      </c>
    </row>
    <row r="30" spans="1:14">
      <c r="A30" s="165"/>
      <c r="B30" s="66"/>
      <c r="C30" s="66"/>
      <c r="D30" s="66"/>
      <c r="E30" s="66"/>
      <c r="F30" s="73" t="s">
        <v>396</v>
      </c>
      <c r="G30" s="66">
        <v>4222</v>
      </c>
      <c r="H30" s="22">
        <f t="shared" si="3"/>
        <v>1000</v>
      </c>
      <c r="I30" s="22">
        <v>1000</v>
      </c>
      <c r="J30" s="22"/>
      <c r="K30" s="156">
        <v>238.0952380952381</v>
      </c>
      <c r="L30" s="156">
        <v>480.15873015873018</v>
      </c>
      <c r="M30" s="156">
        <v>742.06349206349205</v>
      </c>
      <c r="N30" s="156">
        <f t="shared" si="7"/>
        <v>1000</v>
      </c>
    </row>
    <row r="31" spans="1:14">
      <c r="A31" s="165"/>
      <c r="B31" s="66"/>
      <c r="C31" s="66"/>
      <c r="D31" s="66"/>
      <c r="E31" s="66"/>
      <c r="F31" s="73" t="s">
        <v>860</v>
      </c>
      <c r="G31" s="66" t="s">
        <v>35</v>
      </c>
      <c r="H31" s="22">
        <f t="shared" si="3"/>
        <v>18000</v>
      </c>
      <c r="I31" s="22">
        <v>18000</v>
      </c>
      <c r="J31" s="22"/>
      <c r="K31" s="156">
        <v>4285.7142857142862</v>
      </c>
      <c r="L31" s="156">
        <v>8642.8571428571431</v>
      </c>
      <c r="M31" s="156">
        <v>13357.142857142857</v>
      </c>
      <c r="N31" s="156">
        <f t="shared" si="7"/>
        <v>18000</v>
      </c>
    </row>
    <row r="32" spans="1:14">
      <c r="A32" s="165"/>
      <c r="B32" s="66"/>
      <c r="C32" s="66"/>
      <c r="D32" s="66"/>
      <c r="E32" s="66"/>
      <c r="F32" s="73" t="s">
        <v>164</v>
      </c>
      <c r="G32" s="66">
        <v>4234</v>
      </c>
      <c r="H32" s="22">
        <f t="shared" si="3"/>
        <v>6669</v>
      </c>
      <c r="I32" s="22">
        <v>6669</v>
      </c>
      <c r="J32" s="22"/>
      <c r="K32" s="156">
        <v>1961.0571428571429</v>
      </c>
      <c r="L32" s="156">
        <v>3575.3785714285714</v>
      </c>
      <c r="M32" s="156">
        <v>5322.0214285714283</v>
      </c>
      <c r="N32" s="156">
        <f t="shared" si="7"/>
        <v>6669</v>
      </c>
    </row>
    <row r="33" spans="1:16">
      <c r="A33" s="165"/>
      <c r="B33" s="66"/>
      <c r="C33" s="66"/>
      <c r="D33" s="66"/>
      <c r="E33" s="66"/>
      <c r="F33" s="73" t="s">
        <v>165</v>
      </c>
      <c r="G33" s="66">
        <v>4237</v>
      </c>
      <c r="H33" s="22">
        <f t="shared" si="3"/>
        <v>16308.2</v>
      </c>
      <c r="I33" s="22">
        <v>16308.2</v>
      </c>
      <c r="J33" s="22"/>
      <c r="K33" s="156">
        <v>4191.1047619047613</v>
      </c>
      <c r="L33" s="156">
        <v>8138.7246031746026</v>
      </c>
      <c r="M33" s="156">
        <v>12409.919841269841</v>
      </c>
      <c r="N33" s="156">
        <f t="shared" si="7"/>
        <v>16308.2</v>
      </c>
    </row>
    <row r="34" spans="1:16">
      <c r="A34" s="165"/>
      <c r="B34" s="66"/>
      <c r="C34" s="66"/>
      <c r="D34" s="66"/>
      <c r="E34" s="66"/>
      <c r="F34" s="73" t="s">
        <v>166</v>
      </c>
      <c r="G34" s="66">
        <v>4239</v>
      </c>
      <c r="H34" s="22">
        <f t="shared" si="3"/>
        <v>11291.1</v>
      </c>
      <c r="I34" s="22">
        <v>11291.1</v>
      </c>
      <c r="J34" s="22"/>
      <c r="K34" s="156">
        <v>2265.1714285714288</v>
      </c>
      <c r="L34" s="156">
        <v>4408.3726190479656</v>
      </c>
      <c r="M34" s="156">
        <v>9443.6226190476209</v>
      </c>
      <c r="N34" s="156">
        <f t="shared" si="7"/>
        <v>11291.1</v>
      </c>
    </row>
    <row r="35" spans="1:16">
      <c r="A35" s="165"/>
      <c r="B35" s="66"/>
      <c r="C35" s="66"/>
      <c r="D35" s="66"/>
      <c r="E35" s="66"/>
      <c r="F35" s="73" t="s">
        <v>167</v>
      </c>
      <c r="G35" s="66">
        <v>4241</v>
      </c>
      <c r="H35" s="22">
        <f t="shared" si="3"/>
        <v>28167.3</v>
      </c>
      <c r="I35" s="22">
        <v>28167.3</v>
      </c>
      <c r="J35" s="22"/>
      <c r="K35" s="156">
        <v>6969.0380952380947</v>
      </c>
      <c r="L35" s="156">
        <v>11850.805158730156</v>
      </c>
      <c r="M35" s="156">
        <v>22196.5</v>
      </c>
      <c r="N35" s="156">
        <f t="shared" si="7"/>
        <v>28167.3</v>
      </c>
      <c r="P35" s="165"/>
    </row>
    <row r="36" spans="1:16" ht="27">
      <c r="A36" s="165"/>
      <c r="B36" s="66"/>
      <c r="C36" s="66"/>
      <c r="D36" s="66"/>
      <c r="E36" s="66"/>
      <c r="F36" s="73" t="s">
        <v>861</v>
      </c>
      <c r="G36" s="66" t="s">
        <v>42</v>
      </c>
      <c r="H36" s="22">
        <f t="shared" si="3"/>
        <v>0</v>
      </c>
      <c r="I36" s="22">
        <v>0</v>
      </c>
      <c r="J36" s="22"/>
      <c r="K36" s="156">
        <v>0</v>
      </c>
      <c r="L36" s="156">
        <v>0</v>
      </c>
      <c r="M36" s="156">
        <v>0</v>
      </c>
      <c r="N36" s="156">
        <f t="shared" si="7"/>
        <v>0</v>
      </c>
    </row>
    <row r="37" spans="1:16" ht="27">
      <c r="A37" s="165"/>
      <c r="B37" s="66"/>
      <c r="C37" s="66"/>
      <c r="D37" s="66"/>
      <c r="E37" s="66"/>
      <c r="F37" s="73" t="s">
        <v>411</v>
      </c>
      <c r="G37" s="66">
        <v>4252</v>
      </c>
      <c r="H37" s="22">
        <f t="shared" si="3"/>
        <v>2000</v>
      </c>
      <c r="I37" s="22">
        <v>2000</v>
      </c>
      <c r="J37" s="22"/>
      <c r="K37" s="156">
        <v>476.1904761904762</v>
      </c>
      <c r="L37" s="156">
        <v>960.31746031746036</v>
      </c>
      <c r="M37" s="156">
        <v>1484.1269841269841</v>
      </c>
      <c r="N37" s="156">
        <f t="shared" si="7"/>
        <v>2000</v>
      </c>
      <c r="P37" s="165"/>
    </row>
    <row r="38" spans="1:16">
      <c r="A38" s="165"/>
      <c r="B38" s="66"/>
      <c r="C38" s="66"/>
      <c r="D38" s="66"/>
      <c r="E38" s="66"/>
      <c r="F38" s="73" t="s">
        <v>413</v>
      </c>
      <c r="G38" s="66">
        <v>4261</v>
      </c>
      <c r="H38" s="22">
        <f t="shared" si="3"/>
        <v>5000</v>
      </c>
      <c r="I38" s="22">
        <v>5000</v>
      </c>
      <c r="J38" s="22"/>
      <c r="K38" s="156">
        <v>1190.4761904761906</v>
      </c>
      <c r="L38" s="156">
        <v>2400.7936507936511</v>
      </c>
      <c r="M38" s="156">
        <v>3710.3174603174602</v>
      </c>
      <c r="N38" s="156">
        <f t="shared" si="7"/>
        <v>5000</v>
      </c>
    </row>
    <row r="39" spans="1:16">
      <c r="A39" s="165"/>
      <c r="B39" s="66"/>
      <c r="C39" s="66"/>
      <c r="D39" s="66"/>
      <c r="E39" s="66"/>
      <c r="F39" s="73" t="s">
        <v>168</v>
      </c>
      <c r="G39" s="66">
        <v>4264</v>
      </c>
      <c r="H39" s="22">
        <f t="shared" si="3"/>
        <v>22210.1</v>
      </c>
      <c r="I39" s="22">
        <v>22210.1</v>
      </c>
      <c r="J39" s="22"/>
      <c r="K39" s="156">
        <v>6450.6</v>
      </c>
      <c r="L39" s="156">
        <v>12795.108333333334</v>
      </c>
      <c r="M39" s="156">
        <v>15659.6583333333</v>
      </c>
      <c r="N39" s="156">
        <f t="shared" si="7"/>
        <v>22210.1</v>
      </c>
    </row>
    <row r="40" spans="1:16">
      <c r="A40" s="165"/>
      <c r="B40" s="66"/>
      <c r="C40" s="66"/>
      <c r="D40" s="66"/>
      <c r="E40" s="66"/>
      <c r="F40" s="73" t="s">
        <v>169</v>
      </c>
      <c r="G40" s="66">
        <v>4269</v>
      </c>
      <c r="H40" s="22">
        <f t="shared" si="3"/>
        <v>11159.9</v>
      </c>
      <c r="I40" s="22">
        <v>11159.9</v>
      </c>
      <c r="J40" s="22"/>
      <c r="K40" s="156">
        <v>3317.0190476190478</v>
      </c>
      <c r="L40" s="156">
        <v>6018.423412698412</v>
      </c>
      <c r="M40" s="156">
        <v>8941.254365079365</v>
      </c>
      <c r="N40" s="156">
        <f t="shared" si="7"/>
        <v>11159.9</v>
      </c>
    </row>
    <row r="41" spans="1:16" ht="40.5" customHeight="1">
      <c r="A41" s="165"/>
      <c r="B41" s="66"/>
      <c r="C41" s="66"/>
      <c r="D41" s="66"/>
      <c r="E41" s="66"/>
      <c r="F41" s="73" t="s">
        <v>170</v>
      </c>
      <c r="G41" s="66">
        <v>4823</v>
      </c>
      <c r="H41" s="22">
        <f t="shared" si="3"/>
        <v>4550</v>
      </c>
      <c r="I41" s="22">
        <v>4550</v>
      </c>
      <c r="J41" s="22"/>
      <c r="K41" s="156">
        <v>1133.3333333333335</v>
      </c>
      <c r="L41" s="156">
        <v>2234.7222222222226</v>
      </c>
      <c r="M41" s="156">
        <v>3426.3888888888891</v>
      </c>
      <c r="N41" s="156">
        <f t="shared" si="7"/>
        <v>4550</v>
      </c>
    </row>
    <row r="42" spans="1:16">
      <c r="A42" s="165"/>
      <c r="B42" s="66"/>
      <c r="C42" s="66"/>
      <c r="D42" s="66"/>
      <c r="E42" s="66"/>
      <c r="F42" s="73" t="s">
        <v>171</v>
      </c>
      <c r="G42" s="66">
        <v>4861</v>
      </c>
      <c r="H42" s="22">
        <v>0</v>
      </c>
      <c r="I42" s="22"/>
      <c r="J42" s="22"/>
      <c r="K42" s="156">
        <v>0</v>
      </c>
      <c r="L42" s="156">
        <v>0</v>
      </c>
      <c r="M42" s="156">
        <v>0</v>
      </c>
      <c r="N42" s="156">
        <f t="shared" si="7"/>
        <v>0</v>
      </c>
    </row>
    <row r="43" spans="1:16">
      <c r="A43" s="165"/>
      <c r="B43" s="66"/>
      <c r="C43" s="66"/>
      <c r="D43" s="66"/>
      <c r="E43" s="66"/>
      <c r="F43" s="73" t="s">
        <v>172</v>
      </c>
      <c r="G43" s="66">
        <v>5111</v>
      </c>
      <c r="H43" s="22">
        <v>0</v>
      </c>
      <c r="I43" s="22"/>
      <c r="J43" s="22"/>
      <c r="K43" s="156">
        <v>0</v>
      </c>
      <c r="L43" s="156">
        <v>0</v>
      </c>
      <c r="M43" s="156">
        <v>0</v>
      </c>
      <c r="N43" s="156">
        <f t="shared" si="7"/>
        <v>0</v>
      </c>
    </row>
    <row r="44" spans="1:16" ht="27">
      <c r="A44" s="165"/>
      <c r="B44" s="66"/>
      <c r="C44" s="66"/>
      <c r="D44" s="66"/>
      <c r="E44" s="66"/>
      <c r="F44" s="73" t="s">
        <v>606</v>
      </c>
      <c r="G44" s="66" t="s">
        <v>92</v>
      </c>
      <c r="H44" s="22">
        <f t="shared" ref="H44:H50" si="9">SUM(I44:J44)</f>
        <v>6317.3</v>
      </c>
      <c r="I44" s="22"/>
      <c r="J44" s="22">
        <v>6317.3</v>
      </c>
      <c r="K44" s="156">
        <v>6317.3</v>
      </c>
      <c r="L44" s="156">
        <v>6317.3</v>
      </c>
      <c r="M44" s="156">
        <v>6317.3</v>
      </c>
      <c r="N44" s="156">
        <f t="shared" si="7"/>
        <v>6317.3</v>
      </c>
    </row>
    <row r="45" spans="1:16">
      <c r="A45" s="165"/>
      <c r="B45" s="66"/>
      <c r="C45" s="66"/>
      <c r="D45" s="66"/>
      <c r="E45" s="66"/>
      <c r="F45" s="75" t="s">
        <v>174</v>
      </c>
      <c r="G45" s="66">
        <v>5121</v>
      </c>
      <c r="H45" s="22">
        <f t="shared" si="9"/>
        <v>0</v>
      </c>
      <c r="I45" s="22"/>
      <c r="J45" s="22"/>
      <c r="K45" s="156">
        <v>0</v>
      </c>
      <c r="L45" s="156">
        <v>0</v>
      </c>
      <c r="M45" s="156">
        <v>0</v>
      </c>
      <c r="N45" s="156">
        <f t="shared" si="7"/>
        <v>0</v>
      </c>
    </row>
    <row r="46" spans="1:16" ht="40.5" customHeight="1">
      <c r="A46" s="165"/>
      <c r="B46" s="66"/>
      <c r="C46" s="66"/>
      <c r="D46" s="66"/>
      <c r="E46" s="66"/>
      <c r="F46" s="73" t="s">
        <v>175</v>
      </c>
      <c r="G46" s="66">
        <v>5122</v>
      </c>
      <c r="H46" s="22">
        <f t="shared" si="9"/>
        <v>43000</v>
      </c>
      <c r="I46" s="22"/>
      <c r="J46" s="22">
        <f>15000+15000+13000</f>
        <v>43000</v>
      </c>
      <c r="K46" s="156">
        <v>2380.9523809523812</v>
      </c>
      <c r="L46" s="156">
        <v>4801.5873015873021</v>
      </c>
      <c r="M46" s="156">
        <f>27420.6349206349+15000</f>
        <v>42420.634920634897</v>
      </c>
      <c r="N46" s="156">
        <f t="shared" si="7"/>
        <v>43000</v>
      </c>
    </row>
    <row r="47" spans="1:16" ht="48.75" customHeight="1">
      <c r="A47" s="165"/>
      <c r="B47" s="66"/>
      <c r="C47" s="66"/>
      <c r="D47" s="66"/>
      <c r="E47" s="66"/>
      <c r="F47" s="73" t="s">
        <v>605</v>
      </c>
      <c r="G47" s="66">
        <v>5132</v>
      </c>
      <c r="H47" s="22">
        <f t="shared" si="9"/>
        <v>0</v>
      </c>
      <c r="I47" s="22"/>
      <c r="J47" s="22"/>
      <c r="K47" s="156">
        <v>0</v>
      </c>
      <c r="L47" s="156">
        <v>0</v>
      </c>
      <c r="M47" s="156">
        <v>0</v>
      </c>
      <c r="N47" s="156">
        <f t="shared" si="7"/>
        <v>0</v>
      </c>
    </row>
    <row r="48" spans="1:16">
      <c r="A48" s="165"/>
      <c r="B48" s="66"/>
      <c r="C48" s="66"/>
      <c r="D48" s="66"/>
      <c r="E48" s="66"/>
      <c r="F48" s="73" t="s">
        <v>549</v>
      </c>
      <c r="G48" s="66">
        <v>5129</v>
      </c>
      <c r="H48" s="22">
        <f t="shared" si="9"/>
        <v>611.9</v>
      </c>
      <c r="I48" s="22"/>
      <c r="J48" s="22">
        <v>611.9</v>
      </c>
      <c r="K48" s="156">
        <v>611.9</v>
      </c>
      <c r="L48" s="156">
        <v>611.9</v>
      </c>
      <c r="M48" s="156">
        <v>611.9</v>
      </c>
      <c r="N48" s="156">
        <f t="shared" si="7"/>
        <v>611.9</v>
      </c>
    </row>
    <row r="49" spans="1:14">
      <c r="A49" s="165"/>
      <c r="B49" s="66"/>
      <c r="C49" s="66"/>
      <c r="D49" s="66"/>
      <c r="E49" s="66"/>
      <c r="F49" s="73" t="s">
        <v>592</v>
      </c>
      <c r="G49" s="66" t="s">
        <v>96</v>
      </c>
      <c r="H49" s="22">
        <f t="shared" si="9"/>
        <v>2000</v>
      </c>
      <c r="I49" s="22"/>
      <c r="J49" s="22">
        <v>2000</v>
      </c>
      <c r="K49" s="156">
        <v>0</v>
      </c>
      <c r="L49" s="156">
        <v>0</v>
      </c>
      <c r="M49" s="156">
        <v>0</v>
      </c>
      <c r="N49" s="156">
        <f t="shared" si="7"/>
        <v>2000</v>
      </c>
    </row>
    <row r="50" spans="1:14">
      <c r="A50" s="165"/>
      <c r="B50" s="66"/>
      <c r="C50" s="66"/>
      <c r="D50" s="66"/>
      <c r="E50" s="66"/>
      <c r="F50" s="73" t="s">
        <v>755</v>
      </c>
      <c r="G50" s="66" t="s">
        <v>99</v>
      </c>
      <c r="H50" s="22">
        <f t="shared" si="9"/>
        <v>0</v>
      </c>
      <c r="I50" s="22"/>
      <c r="J50" s="22"/>
      <c r="K50" s="156">
        <v>0</v>
      </c>
      <c r="L50" s="156">
        <v>0</v>
      </c>
      <c r="M50" s="156">
        <v>0</v>
      </c>
      <c r="N50" s="156">
        <f t="shared" si="7"/>
        <v>0</v>
      </c>
    </row>
    <row r="51" spans="1:14" ht="27">
      <c r="A51" s="165"/>
      <c r="B51" s="66">
        <v>2112</v>
      </c>
      <c r="C51" s="66" t="s">
        <v>2</v>
      </c>
      <c r="D51" s="66">
        <v>1</v>
      </c>
      <c r="E51" s="66">
        <v>2</v>
      </c>
      <c r="F51" s="73" t="s">
        <v>176</v>
      </c>
      <c r="G51" s="66"/>
      <c r="H51" s="22"/>
      <c r="I51" s="22"/>
      <c r="J51" s="22"/>
      <c r="K51" s="22"/>
      <c r="L51" s="22"/>
      <c r="M51" s="22"/>
      <c r="N51" s="22"/>
    </row>
    <row r="52" spans="1:14" ht="40.5">
      <c r="A52" s="165"/>
      <c r="B52" s="66"/>
      <c r="C52" s="66"/>
      <c r="D52" s="66"/>
      <c r="E52" s="66"/>
      <c r="F52" s="73" t="s">
        <v>177</v>
      </c>
      <c r="G52" s="66"/>
      <c r="H52" s="22"/>
      <c r="I52" s="22"/>
      <c r="J52" s="22"/>
      <c r="K52" s="22"/>
      <c r="L52" s="22"/>
      <c r="M52" s="22"/>
      <c r="N52" s="22"/>
    </row>
    <row r="53" spans="1:14" ht="49.5" customHeight="1">
      <c r="A53" s="165"/>
      <c r="B53" s="66"/>
      <c r="C53" s="66"/>
      <c r="D53" s="66"/>
      <c r="E53" s="66"/>
      <c r="F53" s="229"/>
      <c r="G53" s="66"/>
      <c r="H53" s="22"/>
      <c r="I53" s="22"/>
      <c r="J53" s="22"/>
      <c r="K53" s="22"/>
      <c r="L53" s="22"/>
      <c r="M53" s="22"/>
      <c r="N53" s="22"/>
    </row>
    <row r="54" spans="1:14">
      <c r="A54" s="165"/>
      <c r="B54" s="66">
        <v>2113</v>
      </c>
      <c r="C54" s="66" t="s">
        <v>2</v>
      </c>
      <c r="D54" s="66">
        <v>1</v>
      </c>
      <c r="E54" s="66">
        <v>3</v>
      </c>
      <c r="F54" s="229"/>
      <c r="G54" s="66"/>
      <c r="H54" s="22"/>
      <c r="I54" s="22"/>
      <c r="J54" s="22"/>
      <c r="K54" s="22"/>
      <c r="L54" s="22"/>
      <c r="M54" s="22"/>
      <c r="N54" s="22"/>
    </row>
    <row r="55" spans="1:14">
      <c r="A55" s="165"/>
      <c r="B55" s="66"/>
      <c r="C55" s="66"/>
      <c r="D55" s="66"/>
      <c r="E55" s="66"/>
      <c r="F55" s="73" t="s">
        <v>183</v>
      </c>
      <c r="G55" s="66"/>
      <c r="H55" s="22"/>
      <c r="I55" s="22"/>
      <c r="J55" s="22"/>
      <c r="K55" s="22"/>
      <c r="L55" s="22"/>
      <c r="M55" s="22"/>
      <c r="N55" s="22"/>
    </row>
    <row r="56" spans="1:14" ht="40.5">
      <c r="A56" s="165"/>
      <c r="B56" s="66"/>
      <c r="C56" s="66"/>
      <c r="D56" s="66"/>
      <c r="E56" s="66"/>
      <c r="F56" s="73" t="s">
        <v>177</v>
      </c>
      <c r="G56" s="66"/>
      <c r="H56" s="22"/>
      <c r="I56" s="22"/>
      <c r="J56" s="22"/>
      <c r="K56" s="22"/>
      <c r="L56" s="22"/>
      <c r="M56" s="22"/>
      <c r="N56" s="22"/>
    </row>
    <row r="57" spans="1:14">
      <c r="A57" s="165"/>
      <c r="B57" s="66"/>
      <c r="C57" s="66"/>
      <c r="D57" s="66"/>
      <c r="E57" s="66"/>
      <c r="F57" s="73" t="s">
        <v>184</v>
      </c>
      <c r="G57" s="66"/>
      <c r="H57" s="22"/>
      <c r="I57" s="22"/>
      <c r="J57" s="22"/>
      <c r="K57" s="22"/>
      <c r="L57" s="22"/>
      <c r="M57" s="22"/>
      <c r="N57" s="22"/>
    </row>
    <row r="58" spans="1:14">
      <c r="A58" s="165"/>
      <c r="B58" s="66">
        <v>2120</v>
      </c>
      <c r="C58" s="66" t="s">
        <v>2</v>
      </c>
      <c r="D58" s="66">
        <v>2</v>
      </c>
      <c r="E58" s="66">
        <v>0</v>
      </c>
      <c r="F58" s="73" t="s">
        <v>156</v>
      </c>
      <c r="G58" s="66"/>
      <c r="H58" s="22"/>
      <c r="I58" s="22"/>
      <c r="J58" s="22"/>
      <c r="K58" s="22"/>
      <c r="L58" s="22"/>
      <c r="M58" s="22"/>
      <c r="N58" s="22"/>
    </row>
    <row r="59" spans="1:14" ht="53.25" customHeight="1">
      <c r="A59" s="165"/>
      <c r="B59" s="66"/>
      <c r="C59" s="66"/>
      <c r="D59" s="66"/>
      <c r="E59" s="66"/>
      <c r="F59" s="229" t="s">
        <v>184</v>
      </c>
      <c r="G59" s="66"/>
      <c r="H59" s="22"/>
      <c r="I59" s="22"/>
      <c r="J59" s="22"/>
      <c r="K59" s="22"/>
      <c r="L59" s="22"/>
      <c r="M59" s="22"/>
      <c r="N59" s="22"/>
    </row>
    <row r="60" spans="1:14">
      <c r="A60" s="165"/>
      <c r="B60" s="66">
        <v>2121</v>
      </c>
      <c r="C60" s="66" t="s">
        <v>2</v>
      </c>
      <c r="D60" s="66">
        <v>2</v>
      </c>
      <c r="E60" s="66">
        <v>1</v>
      </c>
      <c r="F60" s="229" t="s">
        <v>186</v>
      </c>
      <c r="G60" s="66"/>
      <c r="H60" s="22"/>
      <c r="I60" s="22"/>
      <c r="J60" s="22"/>
      <c r="K60" s="22"/>
      <c r="L60" s="22"/>
      <c r="M60" s="22"/>
      <c r="N60" s="22"/>
    </row>
    <row r="61" spans="1:14" ht="51.75" customHeight="1">
      <c r="A61" s="165"/>
      <c r="B61" s="66"/>
      <c r="C61" s="66"/>
      <c r="D61" s="66"/>
      <c r="E61" s="66"/>
      <c r="F61" s="73" t="s">
        <v>179</v>
      </c>
      <c r="G61" s="66"/>
      <c r="H61" s="22"/>
      <c r="I61" s="22"/>
      <c r="J61" s="22"/>
      <c r="K61" s="22"/>
      <c r="L61" s="22"/>
      <c r="M61" s="22"/>
      <c r="N61" s="22"/>
    </row>
    <row r="62" spans="1:14" ht="40.5">
      <c r="A62" s="165"/>
      <c r="B62" s="66"/>
      <c r="C62" s="66"/>
      <c r="D62" s="66"/>
      <c r="E62" s="66"/>
      <c r="F62" s="73" t="s">
        <v>177</v>
      </c>
      <c r="G62" s="66"/>
      <c r="H62" s="22"/>
      <c r="I62" s="22"/>
      <c r="J62" s="22"/>
      <c r="K62" s="22"/>
      <c r="L62" s="22"/>
      <c r="M62" s="22"/>
      <c r="N62" s="22"/>
    </row>
    <row r="63" spans="1:14" ht="59.25" customHeight="1">
      <c r="A63" s="165"/>
      <c r="B63" s="66"/>
      <c r="C63" s="66"/>
      <c r="D63" s="66"/>
      <c r="E63" s="66"/>
      <c r="F63" s="73" t="s">
        <v>180</v>
      </c>
      <c r="G63" s="66"/>
      <c r="H63" s="22"/>
      <c r="I63" s="22"/>
      <c r="J63" s="22"/>
      <c r="K63" s="22"/>
      <c r="L63" s="22"/>
      <c r="M63" s="22"/>
      <c r="N63" s="22"/>
    </row>
    <row r="64" spans="1:14" ht="40.5">
      <c r="A64" s="165"/>
      <c r="B64" s="66">
        <v>2122</v>
      </c>
      <c r="C64" s="66" t="s">
        <v>2</v>
      </c>
      <c r="D64" s="66">
        <v>2</v>
      </c>
      <c r="E64" s="66">
        <v>2</v>
      </c>
      <c r="F64" s="73" t="s">
        <v>177</v>
      </c>
      <c r="G64" s="66"/>
      <c r="H64" s="22"/>
      <c r="I64" s="22"/>
      <c r="J64" s="22"/>
      <c r="K64" s="22"/>
      <c r="L64" s="22"/>
      <c r="M64" s="22"/>
      <c r="N64" s="22"/>
    </row>
    <row r="65" spans="1:14" ht="27">
      <c r="A65" s="165"/>
      <c r="B65" s="66"/>
      <c r="C65" s="66"/>
      <c r="D65" s="66"/>
      <c r="E65" s="66"/>
      <c r="F65" s="73" t="s">
        <v>180</v>
      </c>
      <c r="G65" s="66"/>
      <c r="H65" s="22"/>
      <c r="I65" s="22"/>
      <c r="J65" s="22"/>
      <c r="K65" s="22"/>
      <c r="L65" s="22"/>
      <c r="M65" s="22"/>
      <c r="N65" s="22"/>
    </row>
    <row r="66" spans="1:14" ht="40.5">
      <c r="A66" s="165"/>
      <c r="B66" s="66"/>
      <c r="C66" s="66"/>
      <c r="D66" s="66"/>
      <c r="E66" s="66"/>
      <c r="F66" s="73" t="s">
        <v>567</v>
      </c>
      <c r="G66" s="66"/>
      <c r="H66" s="22"/>
      <c r="I66" s="22"/>
      <c r="J66" s="22"/>
      <c r="K66" s="22"/>
      <c r="L66" s="22"/>
      <c r="M66" s="22"/>
      <c r="N66" s="22"/>
    </row>
    <row r="67" spans="1:14">
      <c r="A67" s="165"/>
      <c r="B67" s="66"/>
      <c r="C67" s="66"/>
      <c r="D67" s="66"/>
      <c r="E67" s="66"/>
      <c r="F67" s="73" t="s">
        <v>178</v>
      </c>
      <c r="G67" s="66"/>
      <c r="H67" s="22"/>
      <c r="I67" s="22"/>
      <c r="J67" s="22"/>
      <c r="K67" s="22"/>
      <c r="L67" s="22"/>
      <c r="M67" s="22"/>
      <c r="N67" s="22"/>
    </row>
    <row r="68" spans="1:14" ht="36.75" customHeight="1">
      <c r="A68" s="165"/>
      <c r="B68" s="66">
        <v>2130</v>
      </c>
      <c r="C68" s="66" t="s">
        <v>2</v>
      </c>
      <c r="D68" s="66">
        <v>3</v>
      </c>
      <c r="E68" s="66">
        <v>0</v>
      </c>
      <c r="F68" s="73" t="s">
        <v>194</v>
      </c>
      <c r="G68" s="66"/>
      <c r="H68" s="22">
        <f>H70+H74+H78</f>
        <v>0</v>
      </c>
      <c r="I68" s="22">
        <f t="shared" ref="I68:J68" si="10">I70+I74+I78</f>
        <v>0</v>
      </c>
      <c r="J68" s="22">
        <f t="shared" si="10"/>
        <v>0</v>
      </c>
      <c r="K68" s="22">
        <f>K70+K77+K81</f>
        <v>0</v>
      </c>
      <c r="L68" s="22">
        <f>L70+L77+L81</f>
        <v>0</v>
      </c>
      <c r="M68" s="22">
        <f>M70+M77+M81</f>
        <v>0</v>
      </c>
      <c r="N68" s="22">
        <f>N70+N77+N81</f>
        <v>0</v>
      </c>
    </row>
    <row r="69" spans="1:14" ht="47.25" customHeight="1">
      <c r="A69" s="165"/>
      <c r="B69" s="66"/>
      <c r="C69" s="66"/>
      <c r="D69" s="66"/>
      <c r="E69" s="66"/>
      <c r="F69" s="73" t="s">
        <v>568</v>
      </c>
      <c r="G69" s="66"/>
      <c r="H69" s="22"/>
      <c r="I69" s="22"/>
      <c r="J69" s="22"/>
      <c r="K69" s="22"/>
      <c r="L69" s="22"/>
      <c r="M69" s="22"/>
      <c r="N69" s="22"/>
    </row>
    <row r="70" spans="1:14" ht="27">
      <c r="A70" s="165"/>
      <c r="B70" s="66">
        <v>2131</v>
      </c>
      <c r="C70" s="66" t="s">
        <v>2</v>
      </c>
      <c r="D70" s="66">
        <v>3</v>
      </c>
      <c r="E70" s="66">
        <v>1</v>
      </c>
      <c r="F70" s="73" t="s">
        <v>195</v>
      </c>
      <c r="G70" s="66"/>
      <c r="H70" s="22"/>
      <c r="I70" s="22"/>
      <c r="J70" s="22"/>
      <c r="K70" s="22"/>
      <c r="L70" s="22"/>
      <c r="M70" s="22"/>
      <c r="N70" s="22"/>
    </row>
    <row r="71" spans="1:14" ht="40.5">
      <c r="A71" s="165"/>
      <c r="B71" s="66"/>
      <c r="C71" s="66"/>
      <c r="D71" s="66"/>
      <c r="E71" s="66"/>
      <c r="F71" s="73" t="s">
        <v>567</v>
      </c>
      <c r="G71" s="66"/>
      <c r="H71" s="22"/>
      <c r="I71" s="22"/>
      <c r="J71" s="22"/>
      <c r="K71" s="22"/>
      <c r="L71" s="22"/>
      <c r="M71" s="22"/>
      <c r="N71" s="22"/>
    </row>
    <row r="72" spans="1:14" ht="34.5" customHeight="1">
      <c r="A72" s="165"/>
      <c r="B72" s="66"/>
      <c r="C72" s="66"/>
      <c r="D72" s="66"/>
      <c r="E72" s="66"/>
      <c r="F72" s="73" t="s">
        <v>178</v>
      </c>
      <c r="G72" s="66"/>
      <c r="H72" s="22"/>
      <c r="I72" s="22"/>
      <c r="J72" s="22"/>
      <c r="K72" s="22"/>
      <c r="L72" s="22"/>
      <c r="M72" s="22"/>
      <c r="N72" s="22"/>
    </row>
    <row r="73" spans="1:14" ht="51" customHeight="1">
      <c r="A73" s="165"/>
      <c r="B73" s="66"/>
      <c r="C73" s="66"/>
      <c r="D73" s="66"/>
      <c r="E73" s="66"/>
      <c r="F73" s="73" t="s">
        <v>178</v>
      </c>
      <c r="G73" s="66"/>
      <c r="H73" s="22"/>
      <c r="I73" s="22"/>
      <c r="J73" s="22"/>
      <c r="K73" s="22"/>
      <c r="L73" s="22"/>
      <c r="M73" s="22"/>
      <c r="N73" s="22"/>
    </row>
    <row r="74" spans="1:14" ht="27">
      <c r="A74" s="165"/>
      <c r="B74" s="66">
        <v>2132</v>
      </c>
      <c r="C74" s="66" t="s">
        <v>2</v>
      </c>
      <c r="D74" s="66">
        <v>3</v>
      </c>
      <c r="E74" s="66">
        <v>2</v>
      </c>
      <c r="F74" s="73" t="s">
        <v>196</v>
      </c>
      <c r="G74" s="66"/>
      <c r="H74" s="22"/>
      <c r="I74" s="22"/>
      <c r="J74" s="22"/>
      <c r="K74" s="22"/>
      <c r="L74" s="22"/>
      <c r="M74" s="22"/>
      <c r="N74" s="22"/>
    </row>
    <row r="75" spans="1:14" ht="40.5">
      <c r="A75" s="165"/>
      <c r="B75" s="66"/>
      <c r="C75" s="66"/>
      <c r="D75" s="66"/>
      <c r="E75" s="66"/>
      <c r="F75" s="73" t="s">
        <v>177</v>
      </c>
      <c r="G75" s="66"/>
      <c r="H75" s="22"/>
      <c r="I75" s="22"/>
      <c r="J75" s="22"/>
      <c r="K75" s="22"/>
      <c r="L75" s="22"/>
      <c r="M75" s="22"/>
      <c r="N75" s="22"/>
    </row>
    <row r="76" spans="1:14">
      <c r="A76" s="165"/>
      <c r="B76" s="66"/>
      <c r="C76" s="66"/>
      <c r="D76" s="66"/>
      <c r="E76" s="66"/>
      <c r="F76" s="73" t="s">
        <v>178</v>
      </c>
      <c r="G76" s="66"/>
      <c r="H76" s="22"/>
      <c r="I76" s="22"/>
      <c r="J76" s="22"/>
      <c r="K76" s="22"/>
      <c r="L76" s="22"/>
      <c r="M76" s="22"/>
      <c r="N76" s="22"/>
    </row>
    <row r="77" spans="1:14" ht="48.75" customHeight="1">
      <c r="A77" s="165"/>
      <c r="B77" s="66"/>
      <c r="C77" s="66"/>
      <c r="D77" s="66"/>
      <c r="E77" s="66"/>
      <c r="F77" s="73" t="s">
        <v>178</v>
      </c>
      <c r="G77" s="66"/>
      <c r="H77" s="22"/>
      <c r="I77" s="22"/>
      <c r="J77" s="22"/>
      <c r="K77" s="22"/>
      <c r="L77" s="22"/>
      <c r="M77" s="22"/>
      <c r="N77" s="22"/>
    </row>
    <row r="78" spans="1:14">
      <c r="A78" s="165"/>
      <c r="B78" s="66">
        <v>2133</v>
      </c>
      <c r="C78" s="66" t="s">
        <v>2</v>
      </c>
      <c r="D78" s="66">
        <v>3</v>
      </c>
      <c r="E78" s="66">
        <v>3</v>
      </c>
      <c r="F78" s="73" t="s">
        <v>197</v>
      </c>
      <c r="G78" s="66"/>
      <c r="H78" s="22">
        <f t="shared" ref="H78:N78" si="11">SUM(H80:H87)</f>
        <v>0</v>
      </c>
      <c r="I78" s="22">
        <f t="shared" si="11"/>
        <v>0</v>
      </c>
      <c r="J78" s="22">
        <f t="shared" si="11"/>
        <v>0</v>
      </c>
      <c r="K78" s="22">
        <f t="shared" si="11"/>
        <v>0</v>
      </c>
      <c r="L78" s="22">
        <f t="shared" si="11"/>
        <v>0</v>
      </c>
      <c r="M78" s="22">
        <f t="shared" si="11"/>
        <v>0</v>
      </c>
      <c r="N78" s="22">
        <f t="shared" si="11"/>
        <v>0</v>
      </c>
    </row>
    <row r="79" spans="1:14" ht="96" customHeight="1">
      <c r="A79" s="165"/>
      <c r="B79" s="66"/>
      <c r="C79" s="66"/>
      <c r="D79" s="66"/>
      <c r="E79" s="66"/>
      <c r="F79" s="73" t="s">
        <v>177</v>
      </c>
      <c r="G79" s="66"/>
      <c r="H79" s="22"/>
      <c r="I79" s="22"/>
      <c r="J79" s="22"/>
      <c r="K79" s="22"/>
      <c r="L79" s="22"/>
      <c r="M79" s="22"/>
      <c r="N79" s="22"/>
    </row>
    <row r="80" spans="1:14" ht="27">
      <c r="A80" s="165"/>
      <c r="B80" s="66"/>
      <c r="C80" s="66"/>
      <c r="D80" s="66"/>
      <c r="E80" s="66"/>
      <c r="F80" s="73" t="s">
        <v>158</v>
      </c>
      <c r="G80" s="66">
        <v>4111</v>
      </c>
      <c r="H80" s="22">
        <v>0</v>
      </c>
      <c r="I80" s="22">
        <f>+H80</f>
        <v>0</v>
      </c>
      <c r="J80" s="22"/>
      <c r="K80" s="86"/>
      <c r="L80" s="86"/>
      <c r="M80" s="86"/>
      <c r="N80" s="86"/>
    </row>
    <row r="81" spans="1:14">
      <c r="A81" s="165"/>
      <c r="B81" s="66"/>
      <c r="C81" s="66"/>
      <c r="D81" s="66"/>
      <c r="E81" s="66"/>
      <c r="F81" s="73" t="s">
        <v>538</v>
      </c>
      <c r="G81" s="66">
        <v>4212</v>
      </c>
      <c r="H81" s="22">
        <v>0</v>
      </c>
      <c r="I81" s="22">
        <f t="shared" ref="I81:I87" si="12">+H81</f>
        <v>0</v>
      </c>
      <c r="J81" s="22"/>
      <c r="K81" s="86"/>
      <c r="L81" s="86"/>
      <c r="M81" s="86"/>
      <c r="N81" s="86"/>
    </row>
    <row r="82" spans="1:14">
      <c r="A82" s="165"/>
      <c r="B82" s="66"/>
      <c r="C82" s="66"/>
      <c r="D82" s="66"/>
      <c r="E82" s="66"/>
      <c r="F82" s="73" t="s">
        <v>539</v>
      </c>
      <c r="G82" s="66">
        <v>4213</v>
      </c>
      <c r="H82" s="22">
        <v>0</v>
      </c>
      <c r="I82" s="22">
        <f t="shared" si="12"/>
        <v>0</v>
      </c>
      <c r="J82" s="22"/>
      <c r="K82" s="86"/>
      <c r="L82" s="86"/>
      <c r="M82" s="86"/>
      <c r="N82" s="86"/>
    </row>
    <row r="83" spans="1:14">
      <c r="A83" s="165"/>
      <c r="B83" s="66"/>
      <c r="C83" s="66"/>
      <c r="D83" s="66"/>
      <c r="E83" s="66"/>
      <c r="F83" s="73" t="s">
        <v>540</v>
      </c>
      <c r="G83" s="66">
        <v>4214</v>
      </c>
      <c r="H83" s="22">
        <v>0</v>
      </c>
      <c r="I83" s="22">
        <f t="shared" si="12"/>
        <v>0</v>
      </c>
      <c r="J83" s="22"/>
      <c r="K83" s="86"/>
      <c r="L83" s="86"/>
      <c r="M83" s="86"/>
      <c r="N83" s="86"/>
    </row>
    <row r="84" spans="1:14">
      <c r="A84" s="165"/>
      <c r="B84" s="66"/>
      <c r="C84" s="66"/>
      <c r="D84" s="66"/>
      <c r="E84" s="66"/>
      <c r="F84" s="73" t="s">
        <v>163</v>
      </c>
      <c r="G84" s="66" t="s">
        <v>748</v>
      </c>
      <c r="H84" s="22">
        <v>0</v>
      </c>
      <c r="I84" s="22">
        <f t="shared" si="12"/>
        <v>0</v>
      </c>
      <c r="J84" s="22"/>
      <c r="K84" s="86"/>
      <c r="L84" s="86"/>
      <c r="M84" s="86"/>
      <c r="N84" s="86"/>
    </row>
    <row r="85" spans="1:14">
      <c r="A85" s="165"/>
      <c r="B85" s="66"/>
      <c r="C85" s="66"/>
      <c r="D85" s="66"/>
      <c r="E85" s="66"/>
      <c r="F85" s="73" t="s">
        <v>166</v>
      </c>
      <c r="G85" s="66">
        <v>4239</v>
      </c>
      <c r="H85" s="22">
        <v>0</v>
      </c>
      <c r="I85" s="22">
        <f t="shared" si="12"/>
        <v>0</v>
      </c>
      <c r="J85" s="22"/>
      <c r="K85" s="86"/>
      <c r="L85" s="86"/>
      <c r="M85" s="86"/>
      <c r="N85" s="86"/>
    </row>
    <row r="86" spans="1:14">
      <c r="A86" s="165"/>
      <c r="B86" s="66"/>
      <c r="C86" s="66"/>
      <c r="D86" s="66"/>
      <c r="E86" s="66"/>
      <c r="F86" s="73" t="s">
        <v>413</v>
      </c>
      <c r="G86" s="66">
        <v>4261</v>
      </c>
      <c r="H86" s="22">
        <v>0</v>
      </c>
      <c r="I86" s="22">
        <f t="shared" si="12"/>
        <v>0</v>
      </c>
      <c r="J86" s="22"/>
      <c r="K86" s="86"/>
      <c r="L86" s="86"/>
      <c r="M86" s="86"/>
      <c r="N86" s="86"/>
    </row>
    <row r="87" spans="1:14">
      <c r="A87" s="165"/>
      <c r="B87" s="66"/>
      <c r="C87" s="66"/>
      <c r="D87" s="66"/>
      <c r="E87" s="66"/>
      <c r="F87" s="73" t="s">
        <v>169</v>
      </c>
      <c r="G87" s="66" t="s">
        <v>51</v>
      </c>
      <c r="H87" s="22">
        <v>0</v>
      </c>
      <c r="I87" s="22">
        <f t="shared" si="12"/>
        <v>0</v>
      </c>
      <c r="J87" s="22"/>
      <c r="K87" s="86"/>
      <c r="L87" s="86"/>
      <c r="M87" s="86"/>
      <c r="N87" s="86"/>
    </row>
    <row r="88" spans="1:14" ht="36" customHeight="1">
      <c r="A88" s="165"/>
      <c r="B88" s="66">
        <v>2140</v>
      </c>
      <c r="C88" s="66" t="s">
        <v>2</v>
      </c>
      <c r="D88" s="66">
        <v>4</v>
      </c>
      <c r="E88" s="66">
        <v>0</v>
      </c>
      <c r="F88" s="73" t="s">
        <v>198</v>
      </c>
      <c r="G88" s="66"/>
      <c r="H88" s="22"/>
      <c r="I88" s="22"/>
      <c r="J88" s="22"/>
      <c r="K88" s="22"/>
      <c r="L88" s="22"/>
      <c r="M88" s="22"/>
      <c r="N88" s="22"/>
    </row>
    <row r="89" spans="1:14" ht="47.25" customHeight="1">
      <c r="A89" s="165"/>
      <c r="B89" s="66"/>
      <c r="C89" s="66"/>
      <c r="D89" s="66"/>
      <c r="E89" s="66"/>
      <c r="F89" s="73" t="s">
        <v>156</v>
      </c>
      <c r="G89" s="66"/>
      <c r="H89" s="22"/>
      <c r="I89" s="22"/>
      <c r="J89" s="22"/>
      <c r="K89" s="22"/>
      <c r="L89" s="22"/>
      <c r="M89" s="22"/>
      <c r="N89" s="22"/>
    </row>
    <row r="90" spans="1:14">
      <c r="A90" s="165"/>
      <c r="B90" s="66">
        <v>2141</v>
      </c>
      <c r="C90" s="66" t="s">
        <v>2</v>
      </c>
      <c r="D90" s="66">
        <v>4</v>
      </c>
      <c r="E90" s="66">
        <v>1</v>
      </c>
      <c r="F90" s="73" t="s">
        <v>198</v>
      </c>
      <c r="G90" s="66"/>
      <c r="H90" s="22"/>
      <c r="I90" s="22"/>
      <c r="J90" s="22"/>
      <c r="K90" s="22"/>
      <c r="L90" s="22"/>
      <c r="M90" s="22"/>
      <c r="N90" s="22"/>
    </row>
    <row r="91" spans="1:14" ht="40.5">
      <c r="A91" s="165"/>
      <c r="B91" s="66"/>
      <c r="C91" s="66"/>
      <c r="D91" s="66"/>
      <c r="E91" s="66"/>
      <c r="F91" s="73" t="s">
        <v>177</v>
      </c>
      <c r="G91" s="66"/>
      <c r="H91" s="22"/>
      <c r="I91" s="22"/>
      <c r="J91" s="22"/>
      <c r="K91" s="22"/>
      <c r="L91" s="22"/>
      <c r="M91" s="22"/>
      <c r="N91" s="22"/>
    </row>
    <row r="92" spans="1:14" ht="50.25" customHeight="1">
      <c r="A92" s="165"/>
      <c r="B92" s="66"/>
      <c r="C92" s="66"/>
      <c r="D92" s="66"/>
      <c r="E92" s="66"/>
      <c r="F92" s="73" t="s">
        <v>178</v>
      </c>
      <c r="G92" s="66"/>
      <c r="H92" s="22"/>
      <c r="I92" s="22"/>
      <c r="J92" s="22"/>
      <c r="K92" s="22"/>
      <c r="L92" s="22"/>
      <c r="M92" s="22"/>
      <c r="N92" s="22"/>
    </row>
    <row r="93" spans="1:14">
      <c r="A93" s="165"/>
      <c r="B93" s="66"/>
      <c r="C93" s="66"/>
      <c r="D93" s="66"/>
      <c r="E93" s="66"/>
      <c r="F93" s="73" t="s">
        <v>178</v>
      </c>
      <c r="G93" s="66"/>
      <c r="H93" s="22"/>
      <c r="I93" s="22"/>
      <c r="J93" s="22"/>
      <c r="K93" s="22"/>
      <c r="L93" s="22"/>
      <c r="M93" s="22"/>
      <c r="N93" s="22"/>
    </row>
    <row r="94" spans="1:14" ht="50.25" customHeight="1">
      <c r="A94" s="165"/>
      <c r="B94" s="66">
        <v>2150</v>
      </c>
      <c r="C94" s="66" t="s">
        <v>2</v>
      </c>
      <c r="D94" s="66">
        <v>5</v>
      </c>
      <c r="E94" s="66">
        <v>0</v>
      </c>
      <c r="F94" s="73" t="s">
        <v>200</v>
      </c>
      <c r="G94" s="66"/>
      <c r="H94" s="22">
        <f t="shared" ref="H94:N94" si="13">H96</f>
        <v>23500</v>
      </c>
      <c r="I94" s="22">
        <f t="shared" si="13"/>
        <v>8000</v>
      </c>
      <c r="J94" s="22">
        <f t="shared" si="13"/>
        <v>15500</v>
      </c>
      <c r="K94" s="22">
        <f t="shared" si="13"/>
        <v>5595.2380952380954</v>
      </c>
      <c r="L94" s="22">
        <f t="shared" si="13"/>
        <v>11283.730158730159</v>
      </c>
      <c r="M94" s="22">
        <f t="shared" si="13"/>
        <v>17438.492063492064</v>
      </c>
      <c r="N94" s="22">
        <f t="shared" si="13"/>
        <v>23500</v>
      </c>
    </row>
    <row r="95" spans="1:14" ht="54" customHeight="1">
      <c r="A95" s="165"/>
      <c r="B95" s="66"/>
      <c r="C95" s="66"/>
      <c r="D95" s="66"/>
      <c r="E95" s="66"/>
      <c r="F95" s="73" t="s">
        <v>156</v>
      </c>
      <c r="G95" s="66"/>
      <c r="H95" s="22"/>
      <c r="I95" s="22"/>
      <c r="J95" s="22"/>
      <c r="K95" s="22"/>
      <c r="L95" s="22"/>
      <c r="M95" s="22"/>
      <c r="N95" s="22"/>
    </row>
    <row r="96" spans="1:14" ht="40.5">
      <c r="A96" s="165"/>
      <c r="B96" s="66">
        <v>2151</v>
      </c>
      <c r="C96" s="66" t="s">
        <v>2</v>
      </c>
      <c r="D96" s="66">
        <v>5</v>
      </c>
      <c r="E96" s="66">
        <v>1</v>
      </c>
      <c r="F96" s="73" t="s">
        <v>201</v>
      </c>
      <c r="G96" s="66"/>
      <c r="H96" s="22">
        <f t="shared" ref="H96:N96" si="14">H98+H99</f>
        <v>23500</v>
      </c>
      <c r="I96" s="22">
        <f t="shared" si="14"/>
        <v>8000</v>
      </c>
      <c r="J96" s="22">
        <f t="shared" si="14"/>
        <v>15500</v>
      </c>
      <c r="K96" s="22">
        <f t="shared" si="14"/>
        <v>5595.2380952380954</v>
      </c>
      <c r="L96" s="22">
        <f t="shared" si="14"/>
        <v>11283.730158730159</v>
      </c>
      <c r="M96" s="22">
        <f t="shared" si="14"/>
        <v>17438.492063492064</v>
      </c>
      <c r="N96" s="22">
        <f t="shared" si="14"/>
        <v>23500</v>
      </c>
    </row>
    <row r="97" spans="1:14" ht="40.5">
      <c r="A97" s="165"/>
      <c r="B97" s="66"/>
      <c r="C97" s="66"/>
      <c r="D97" s="66"/>
      <c r="E97" s="66"/>
      <c r="F97" s="73" t="s">
        <v>177</v>
      </c>
      <c r="G97" s="66"/>
      <c r="H97" s="22"/>
      <c r="I97" s="22"/>
      <c r="J97" s="22"/>
      <c r="K97" s="22"/>
      <c r="L97" s="22"/>
      <c r="M97" s="22"/>
      <c r="N97" s="22"/>
    </row>
    <row r="98" spans="1:14">
      <c r="A98" s="165"/>
      <c r="B98" s="66"/>
      <c r="C98" s="66"/>
      <c r="D98" s="66"/>
      <c r="E98" s="66"/>
      <c r="F98" s="73" t="s">
        <v>541</v>
      </c>
      <c r="G98" s="66">
        <v>4241</v>
      </c>
      <c r="H98" s="22">
        <f>+I98+J98</f>
        <v>8000</v>
      </c>
      <c r="I98" s="22">
        <f>5000+1000+2000</f>
        <v>8000</v>
      </c>
      <c r="J98" s="22"/>
      <c r="K98" s="156">
        <f t="shared" ref="K98:K99" si="15">+H98/252*60</f>
        <v>1904.7619047619048</v>
      </c>
      <c r="L98" s="156">
        <f t="shared" ref="L98:L99" si="16">+H98/252*121</f>
        <v>3841.2698412698414</v>
      </c>
      <c r="M98" s="156">
        <f t="shared" ref="M98:M99" si="17">+H98/252*187</f>
        <v>5936.5079365079364</v>
      </c>
      <c r="N98" s="156">
        <f t="shared" ref="N98:N99" si="18">+H98</f>
        <v>8000</v>
      </c>
    </row>
    <row r="99" spans="1:14">
      <c r="A99" s="165"/>
      <c r="B99" s="66"/>
      <c r="C99" s="66"/>
      <c r="D99" s="66"/>
      <c r="E99" s="66"/>
      <c r="F99" s="73" t="s">
        <v>595</v>
      </c>
      <c r="G99" s="66">
        <v>5134</v>
      </c>
      <c r="H99" s="22">
        <f>+I99+J99</f>
        <v>15500</v>
      </c>
      <c r="I99" s="22"/>
      <c r="J99" s="22">
        <f>11500+4000</f>
        <v>15500</v>
      </c>
      <c r="K99" s="156">
        <f t="shared" si="15"/>
        <v>3690.4761904761904</v>
      </c>
      <c r="L99" s="156">
        <f t="shared" si="16"/>
        <v>7442.4603174603171</v>
      </c>
      <c r="M99" s="156">
        <f t="shared" si="17"/>
        <v>11501.984126984127</v>
      </c>
      <c r="N99" s="156">
        <f t="shared" si="18"/>
        <v>15500</v>
      </c>
    </row>
    <row r="100" spans="1:14">
      <c r="A100" s="165"/>
      <c r="B100" s="66"/>
      <c r="C100" s="66"/>
      <c r="D100" s="66"/>
      <c r="E100" s="66"/>
      <c r="F100" s="73" t="s">
        <v>178</v>
      </c>
      <c r="G100" s="66"/>
      <c r="H100" s="22"/>
      <c r="I100" s="22"/>
      <c r="J100" s="22"/>
      <c r="K100" s="22"/>
      <c r="L100" s="22"/>
      <c r="M100" s="22"/>
      <c r="N100" s="22"/>
    </row>
    <row r="101" spans="1:14" ht="38.25" customHeight="1">
      <c r="A101" s="165"/>
      <c r="B101" s="66">
        <v>2160</v>
      </c>
      <c r="C101" s="66" t="s">
        <v>2</v>
      </c>
      <c r="D101" s="66">
        <v>6</v>
      </c>
      <c r="E101" s="66">
        <v>0</v>
      </c>
      <c r="F101" s="73" t="s">
        <v>202</v>
      </c>
      <c r="G101" s="66"/>
      <c r="H101" s="22">
        <f>+H103+H108</f>
        <v>186296</v>
      </c>
      <c r="I101" s="22">
        <f>+I103+I108</f>
        <v>186296</v>
      </c>
      <c r="J101" s="22">
        <f>J103</f>
        <v>0</v>
      </c>
      <c r="K101" s="22">
        <f>K103</f>
        <v>48223.580952380951</v>
      </c>
      <c r="L101" s="22">
        <f>L103</f>
        <v>96950.03492063492</v>
      </c>
      <c r="M101" s="22">
        <f>M103</f>
        <v>175940.25396825402</v>
      </c>
      <c r="N101" s="22">
        <f>N103</f>
        <v>186296</v>
      </c>
    </row>
    <row r="102" spans="1:14">
      <c r="A102" s="165"/>
      <c r="B102" s="66"/>
      <c r="C102" s="66"/>
      <c r="D102" s="66"/>
      <c r="E102" s="66"/>
      <c r="F102" s="73" t="s">
        <v>156</v>
      </c>
      <c r="G102" s="66"/>
      <c r="H102" s="22"/>
      <c r="I102" s="22"/>
      <c r="J102" s="22"/>
      <c r="K102" s="22"/>
      <c r="L102" s="22"/>
      <c r="M102" s="22"/>
      <c r="N102" s="22"/>
    </row>
    <row r="103" spans="1:14" ht="27">
      <c r="A103" s="165"/>
      <c r="B103" s="66">
        <v>2161</v>
      </c>
      <c r="C103" s="66" t="s">
        <v>2</v>
      </c>
      <c r="D103" s="66">
        <v>6</v>
      </c>
      <c r="E103" s="66">
        <v>1</v>
      </c>
      <c r="F103" s="73" t="s">
        <v>203</v>
      </c>
      <c r="G103" s="66"/>
      <c r="H103" s="22">
        <f>+H105+H106+H109+H111+H112</f>
        <v>186296</v>
      </c>
      <c r="I103" s="22">
        <f t="shared" ref="I103:N103" si="19">+I105+I106+I109+I111+I112</f>
        <v>186296</v>
      </c>
      <c r="J103" s="22">
        <f t="shared" si="19"/>
        <v>0</v>
      </c>
      <c r="K103" s="22">
        <f t="shared" si="19"/>
        <v>48223.580952380951</v>
      </c>
      <c r="L103" s="22">
        <f t="shared" si="19"/>
        <v>96950.03492063492</v>
      </c>
      <c r="M103" s="22">
        <f t="shared" si="19"/>
        <v>175940.25396825402</v>
      </c>
      <c r="N103" s="22">
        <f t="shared" si="19"/>
        <v>186296</v>
      </c>
    </row>
    <row r="104" spans="1:14" ht="40.5">
      <c r="A104" s="165"/>
      <c r="B104" s="66"/>
      <c r="C104" s="66"/>
      <c r="D104" s="66"/>
      <c r="E104" s="66"/>
      <c r="F104" s="73" t="s">
        <v>177</v>
      </c>
      <c r="G104" s="66"/>
      <c r="H104" s="22"/>
      <c r="I104" s="22"/>
      <c r="J104" s="22"/>
      <c r="K104" s="22"/>
      <c r="L104" s="22"/>
      <c r="M104" s="22"/>
      <c r="N104" s="22"/>
    </row>
    <row r="105" spans="1:14">
      <c r="A105" s="165"/>
      <c r="B105" s="66"/>
      <c r="C105" s="66"/>
      <c r="D105" s="66"/>
      <c r="E105" s="66"/>
      <c r="F105" s="73" t="s">
        <v>542</v>
      </c>
      <c r="G105" s="66">
        <v>4241</v>
      </c>
      <c r="H105" s="22">
        <f t="shared" ref="H105:H106" si="20">SUM(I105:J105)</f>
        <v>11000</v>
      </c>
      <c r="I105" s="22">
        <v>11000</v>
      </c>
      <c r="J105" s="22"/>
      <c r="K105" s="156">
        <f t="shared" ref="K105:K112" si="21">+H105/252*60</f>
        <v>2619.0476190476193</v>
      </c>
      <c r="L105" s="156">
        <f t="shared" ref="L105:L112" si="22">+H105/252*121</f>
        <v>5281.7460317460318</v>
      </c>
      <c r="M105" s="156">
        <f t="shared" ref="M105:M112" si="23">+H105/252*187</f>
        <v>8162.6984126984125</v>
      </c>
      <c r="N105" s="156">
        <f t="shared" ref="N105:N112" si="24">+H105</f>
        <v>11000</v>
      </c>
    </row>
    <row r="106" spans="1:14">
      <c r="A106" s="165"/>
      <c r="B106" s="66"/>
      <c r="C106" s="66"/>
      <c r="D106" s="66"/>
      <c r="E106" s="66"/>
      <c r="F106" s="73" t="s">
        <v>170</v>
      </c>
      <c r="G106" s="66">
        <v>4823</v>
      </c>
      <c r="H106" s="22">
        <f t="shared" si="20"/>
        <v>84296</v>
      </c>
      <c r="I106" s="22">
        <f>24000+6000+296+54000</f>
        <v>84296</v>
      </c>
      <c r="J106" s="22"/>
      <c r="K106" s="156">
        <v>7509.3333333333339</v>
      </c>
      <c r="L106" s="156">
        <v>14842.888888888891</v>
      </c>
      <c r="M106" s="156">
        <f>22777.5555555556+54000</f>
        <v>76777.555555555591</v>
      </c>
      <c r="N106" s="156">
        <f t="shared" si="24"/>
        <v>84296</v>
      </c>
    </row>
    <row r="107" spans="1:14">
      <c r="A107" s="165"/>
      <c r="B107" s="66"/>
      <c r="C107" s="66"/>
      <c r="D107" s="66"/>
      <c r="E107" s="66"/>
      <c r="F107" s="73"/>
      <c r="G107" s="66"/>
      <c r="H107" s="22"/>
      <c r="I107" s="22"/>
      <c r="J107" s="22"/>
      <c r="K107" s="156"/>
      <c r="L107" s="156"/>
      <c r="M107" s="156"/>
      <c r="N107" s="156"/>
    </row>
    <row r="108" spans="1:14">
      <c r="A108" s="165"/>
      <c r="B108" s="66"/>
      <c r="C108" s="66"/>
      <c r="D108" s="66"/>
      <c r="E108" s="66"/>
      <c r="F108" s="73" t="s">
        <v>638</v>
      </c>
      <c r="G108" s="66"/>
      <c r="H108" s="22"/>
      <c r="I108" s="22"/>
      <c r="J108" s="22"/>
      <c r="K108" s="156"/>
      <c r="L108" s="156"/>
      <c r="M108" s="156"/>
      <c r="N108" s="156"/>
    </row>
    <row r="109" spans="1:14">
      <c r="A109" s="165"/>
      <c r="B109" s="66"/>
      <c r="C109" s="66"/>
      <c r="D109" s="66"/>
      <c r="E109" s="66"/>
      <c r="F109" s="73" t="s">
        <v>639</v>
      </c>
      <c r="G109" s="66" t="s">
        <v>53</v>
      </c>
      <c r="H109" s="22">
        <f t="shared" ref="H109" si="25">SUM(I109:J109)</f>
        <v>91000</v>
      </c>
      <c r="I109" s="22">
        <v>91000</v>
      </c>
      <c r="J109" s="22"/>
      <c r="K109" s="156">
        <v>38095.199999999997</v>
      </c>
      <c r="L109" s="156">
        <v>76825.399999999994</v>
      </c>
      <c r="M109" s="156">
        <v>91000</v>
      </c>
      <c r="N109" s="156">
        <f t="shared" si="24"/>
        <v>91000</v>
      </c>
    </row>
    <row r="110" spans="1:14">
      <c r="A110" s="165"/>
      <c r="B110" s="66"/>
      <c r="C110" s="66"/>
      <c r="D110" s="66"/>
      <c r="E110" s="66"/>
      <c r="F110" s="73"/>
      <c r="G110" s="66"/>
      <c r="H110" s="22"/>
      <c r="I110" s="22"/>
      <c r="J110" s="22"/>
      <c r="K110" s="156"/>
      <c r="L110" s="156"/>
      <c r="M110" s="156"/>
      <c r="N110" s="156"/>
    </row>
    <row r="111" spans="1:14">
      <c r="A111" s="165"/>
      <c r="B111" s="66"/>
      <c r="C111" s="66"/>
      <c r="D111" s="66"/>
      <c r="E111" s="66"/>
      <c r="F111" s="73" t="s">
        <v>862</v>
      </c>
      <c r="G111" s="66" t="s">
        <v>72</v>
      </c>
      <c r="H111" s="22"/>
      <c r="I111" s="22"/>
      <c r="J111" s="22"/>
      <c r="K111" s="156"/>
      <c r="L111" s="156"/>
      <c r="M111" s="156"/>
      <c r="N111" s="156"/>
    </row>
    <row r="112" spans="1:14" ht="40.5">
      <c r="A112" s="165"/>
      <c r="B112" s="66"/>
      <c r="C112" s="66"/>
      <c r="D112" s="66"/>
      <c r="E112" s="66"/>
      <c r="F112" s="73" t="s">
        <v>447</v>
      </c>
      <c r="G112" s="56" t="s">
        <v>67</v>
      </c>
      <c r="H112" s="22">
        <f t="shared" ref="H112:H113" si="26">SUM(I112:J112)</f>
        <v>0</v>
      </c>
      <c r="I112" s="22"/>
      <c r="J112" s="22"/>
      <c r="K112" s="156">
        <f t="shared" si="21"/>
        <v>0</v>
      </c>
      <c r="L112" s="156">
        <f t="shared" si="22"/>
        <v>0</v>
      </c>
      <c r="M112" s="156">
        <f t="shared" si="23"/>
        <v>0</v>
      </c>
      <c r="N112" s="156">
        <f t="shared" si="24"/>
        <v>0</v>
      </c>
    </row>
    <row r="113" spans="1:14">
      <c r="A113" s="165"/>
      <c r="B113" s="66"/>
      <c r="C113" s="66"/>
      <c r="D113" s="66"/>
      <c r="E113" s="66"/>
      <c r="F113" s="73" t="s">
        <v>544</v>
      </c>
      <c r="G113" s="66">
        <v>4861</v>
      </c>
      <c r="H113" s="22">
        <f t="shared" si="26"/>
        <v>0</v>
      </c>
      <c r="I113" s="22"/>
      <c r="J113" s="22"/>
      <c r="K113" s="86"/>
      <c r="L113" s="86"/>
      <c r="M113" s="86"/>
      <c r="N113" s="86"/>
    </row>
    <row r="114" spans="1:14">
      <c r="A114" s="165"/>
      <c r="B114" s="66">
        <v>2170</v>
      </c>
      <c r="C114" s="66" t="s">
        <v>2</v>
      </c>
      <c r="D114" s="66">
        <v>7</v>
      </c>
      <c r="E114" s="66">
        <v>0</v>
      </c>
      <c r="F114" s="73" t="s">
        <v>204</v>
      </c>
      <c r="G114" s="66"/>
      <c r="H114" s="22"/>
      <c r="I114" s="22"/>
      <c r="J114" s="22"/>
      <c r="K114" s="22"/>
      <c r="L114" s="22"/>
      <c r="M114" s="22"/>
      <c r="N114" s="22"/>
    </row>
    <row r="115" spans="1:14" ht="49.5" customHeight="1">
      <c r="A115" s="165"/>
      <c r="B115" s="66"/>
      <c r="C115" s="66"/>
      <c r="D115" s="66"/>
      <c r="E115" s="66"/>
      <c r="F115" s="73" t="s">
        <v>156</v>
      </c>
      <c r="G115" s="66"/>
      <c r="H115" s="22"/>
      <c r="I115" s="22"/>
      <c r="J115" s="22"/>
      <c r="K115" s="22"/>
      <c r="L115" s="22"/>
      <c r="M115" s="22"/>
      <c r="N115" s="22"/>
    </row>
    <row r="116" spans="1:14">
      <c r="A116" s="165"/>
      <c r="B116" s="66">
        <v>2171</v>
      </c>
      <c r="C116" s="66" t="s">
        <v>2</v>
      </c>
      <c r="D116" s="66">
        <v>7</v>
      </c>
      <c r="E116" s="66">
        <v>1</v>
      </c>
      <c r="F116" s="73" t="s">
        <v>594</v>
      </c>
      <c r="G116" s="66"/>
      <c r="H116" s="22"/>
      <c r="I116" s="22"/>
      <c r="J116" s="22"/>
      <c r="K116" s="22"/>
      <c r="L116" s="22"/>
      <c r="M116" s="22"/>
      <c r="N116" s="22"/>
    </row>
    <row r="117" spans="1:14" ht="40.5">
      <c r="A117" s="165"/>
      <c r="B117" s="66"/>
      <c r="C117" s="66"/>
      <c r="D117" s="66"/>
      <c r="E117" s="66"/>
      <c r="F117" s="73" t="s">
        <v>177</v>
      </c>
      <c r="G117" s="66"/>
      <c r="H117" s="22"/>
      <c r="I117" s="22"/>
      <c r="J117" s="22"/>
      <c r="K117" s="22"/>
      <c r="L117" s="22"/>
      <c r="M117" s="22"/>
      <c r="N117" s="22"/>
    </row>
    <row r="118" spans="1:14">
      <c r="A118" s="165"/>
      <c r="B118" s="66"/>
      <c r="C118" s="66"/>
      <c r="D118" s="66"/>
      <c r="E118" s="66"/>
      <c r="F118" s="73" t="s">
        <v>178</v>
      </c>
      <c r="G118" s="66"/>
      <c r="H118" s="22"/>
      <c r="I118" s="22"/>
      <c r="J118" s="22"/>
      <c r="K118" s="22"/>
      <c r="L118" s="22"/>
      <c r="M118" s="22"/>
      <c r="N118" s="22"/>
    </row>
    <row r="119" spans="1:14">
      <c r="A119" s="165"/>
      <c r="B119" s="66"/>
      <c r="C119" s="66"/>
      <c r="D119" s="66"/>
      <c r="E119" s="66"/>
      <c r="F119" s="73" t="s">
        <v>178</v>
      </c>
      <c r="G119" s="66"/>
      <c r="H119" s="22"/>
      <c r="I119" s="22"/>
      <c r="J119" s="22"/>
      <c r="K119" s="22"/>
      <c r="L119" s="22"/>
      <c r="M119" s="22"/>
      <c r="N119" s="22"/>
    </row>
    <row r="120" spans="1:14" ht="52.5" customHeight="1">
      <c r="A120" s="165"/>
      <c r="B120" s="66">
        <v>2180</v>
      </c>
      <c r="C120" s="66" t="s">
        <v>2</v>
      </c>
      <c r="D120" s="66">
        <v>8</v>
      </c>
      <c r="E120" s="66">
        <v>0</v>
      </c>
      <c r="F120" s="73" t="s">
        <v>205</v>
      </c>
      <c r="G120" s="66"/>
      <c r="H120" s="22"/>
      <c r="I120" s="22"/>
      <c r="J120" s="22"/>
      <c r="K120" s="22"/>
      <c r="L120" s="22"/>
      <c r="M120" s="22"/>
      <c r="N120" s="22"/>
    </row>
    <row r="121" spans="1:14">
      <c r="A121" s="165"/>
      <c r="B121" s="66"/>
      <c r="C121" s="66"/>
      <c r="D121" s="66"/>
      <c r="E121" s="66"/>
      <c r="F121" s="73" t="s">
        <v>156</v>
      </c>
      <c r="G121" s="66"/>
      <c r="H121" s="22"/>
      <c r="I121" s="22"/>
      <c r="J121" s="22"/>
      <c r="K121" s="22"/>
      <c r="L121" s="22"/>
      <c r="M121" s="22"/>
      <c r="N121" s="22"/>
    </row>
    <row r="122" spans="1:14" ht="40.5">
      <c r="A122" s="165"/>
      <c r="B122" s="66">
        <v>2181</v>
      </c>
      <c r="C122" s="66" t="s">
        <v>2</v>
      </c>
      <c r="D122" s="66">
        <v>8</v>
      </c>
      <c r="E122" s="66">
        <v>1</v>
      </c>
      <c r="F122" s="73" t="s">
        <v>205</v>
      </c>
      <c r="G122" s="66"/>
      <c r="H122" s="22"/>
      <c r="I122" s="22"/>
      <c r="J122" s="22"/>
      <c r="K122" s="22"/>
      <c r="L122" s="22"/>
      <c r="M122" s="22"/>
      <c r="N122" s="22"/>
    </row>
    <row r="123" spans="1:14" ht="35.25" customHeight="1">
      <c r="A123" s="165"/>
      <c r="B123" s="66"/>
      <c r="C123" s="66"/>
      <c r="D123" s="66"/>
      <c r="E123" s="66"/>
      <c r="F123" s="73" t="s">
        <v>156</v>
      </c>
      <c r="G123" s="66"/>
      <c r="H123" s="22"/>
      <c r="I123" s="22"/>
      <c r="J123" s="22"/>
      <c r="K123" s="22"/>
      <c r="L123" s="22"/>
      <c r="M123" s="22"/>
      <c r="N123" s="22"/>
    </row>
    <row r="124" spans="1:14" ht="40.5" customHeight="1">
      <c r="A124" s="165"/>
      <c r="B124" s="66">
        <v>2182</v>
      </c>
      <c r="C124" s="66" t="s">
        <v>2</v>
      </c>
      <c r="D124" s="66">
        <v>8</v>
      </c>
      <c r="E124" s="66">
        <v>1</v>
      </c>
      <c r="F124" s="73" t="s">
        <v>206</v>
      </c>
      <c r="G124" s="66"/>
      <c r="H124" s="22"/>
      <c r="I124" s="22"/>
      <c r="J124" s="22"/>
      <c r="K124" s="22"/>
      <c r="L124" s="22"/>
      <c r="M124" s="22"/>
      <c r="N124" s="22"/>
    </row>
    <row r="125" spans="1:14" ht="47.25" customHeight="1">
      <c r="A125" s="165"/>
      <c r="B125" s="66">
        <v>2183</v>
      </c>
      <c r="C125" s="66" t="s">
        <v>2</v>
      </c>
      <c r="D125" s="66">
        <v>8</v>
      </c>
      <c r="E125" s="66">
        <v>1</v>
      </c>
      <c r="F125" s="73" t="s">
        <v>207</v>
      </c>
      <c r="G125" s="66"/>
      <c r="H125" s="22"/>
      <c r="I125" s="22"/>
      <c r="J125" s="22"/>
      <c r="K125" s="22"/>
      <c r="L125" s="22"/>
      <c r="M125" s="22"/>
      <c r="N125" s="22"/>
    </row>
    <row r="126" spans="1:14" ht="27">
      <c r="A126" s="165"/>
      <c r="B126" s="66">
        <v>2184</v>
      </c>
      <c r="C126" s="66" t="s">
        <v>2</v>
      </c>
      <c r="D126" s="66">
        <v>8</v>
      </c>
      <c r="E126" s="66">
        <v>1</v>
      </c>
      <c r="F126" s="73" t="s">
        <v>545</v>
      </c>
      <c r="G126" s="66"/>
      <c r="H126" s="22"/>
      <c r="I126" s="22"/>
      <c r="J126" s="22"/>
      <c r="K126" s="22"/>
      <c r="L126" s="22"/>
      <c r="M126" s="22"/>
      <c r="N126" s="22"/>
    </row>
    <row r="127" spans="1:14" ht="40.5">
      <c r="A127" s="165"/>
      <c r="B127" s="66"/>
      <c r="C127" s="66"/>
      <c r="D127" s="66"/>
      <c r="E127" s="66"/>
      <c r="F127" s="73" t="s">
        <v>177</v>
      </c>
      <c r="G127" s="66"/>
      <c r="H127" s="22"/>
      <c r="I127" s="22"/>
      <c r="J127" s="22"/>
      <c r="K127" s="22"/>
      <c r="L127" s="22"/>
      <c r="M127" s="22"/>
      <c r="N127" s="22"/>
    </row>
    <row r="128" spans="1:14">
      <c r="A128" s="165"/>
      <c r="B128" s="66"/>
      <c r="C128" s="66"/>
      <c r="D128" s="66"/>
      <c r="E128" s="66"/>
      <c r="F128" s="73" t="s">
        <v>178</v>
      </c>
      <c r="G128" s="66"/>
      <c r="H128" s="22"/>
      <c r="I128" s="22"/>
      <c r="J128" s="22"/>
      <c r="K128" s="22"/>
      <c r="L128" s="22"/>
      <c r="M128" s="22"/>
      <c r="N128" s="22"/>
    </row>
    <row r="129" spans="1:14">
      <c r="A129" s="165"/>
      <c r="B129" s="66"/>
      <c r="C129" s="66"/>
      <c r="D129" s="66"/>
      <c r="E129" s="66"/>
      <c r="F129" s="73" t="s">
        <v>178</v>
      </c>
      <c r="G129" s="66"/>
      <c r="H129" s="22"/>
      <c r="I129" s="22"/>
      <c r="J129" s="22"/>
      <c r="K129" s="22"/>
      <c r="L129" s="22"/>
      <c r="M129" s="22"/>
      <c r="N129" s="22"/>
    </row>
    <row r="130" spans="1:14" ht="27">
      <c r="A130" s="165"/>
      <c r="B130" s="66">
        <v>2200</v>
      </c>
      <c r="C130" s="66" t="s">
        <v>7</v>
      </c>
      <c r="D130" s="66">
        <v>0</v>
      </c>
      <c r="E130" s="66">
        <v>0</v>
      </c>
      <c r="F130" s="73" t="s">
        <v>208</v>
      </c>
      <c r="G130" s="66"/>
      <c r="H130" s="22">
        <f t="shared" ref="H130:N130" si="27">H131+H138+H144+H150+H154</f>
        <v>2400</v>
      </c>
      <c r="I130" s="22">
        <f t="shared" si="27"/>
        <v>2400</v>
      </c>
      <c r="J130" s="22">
        <f t="shared" si="27"/>
        <v>0</v>
      </c>
      <c r="K130" s="22">
        <f t="shared" si="27"/>
        <v>571.42857142857144</v>
      </c>
      <c r="L130" s="22">
        <f t="shared" si="27"/>
        <v>1152.3809523809523</v>
      </c>
      <c r="M130" s="22">
        <f t="shared" si="27"/>
        <v>1780.952380952381</v>
      </c>
      <c r="N130" s="22">
        <f t="shared" si="27"/>
        <v>2400</v>
      </c>
    </row>
    <row r="131" spans="1:14">
      <c r="A131" s="165"/>
      <c r="B131" s="66"/>
      <c r="C131" s="66"/>
      <c r="D131" s="66"/>
      <c r="E131" s="66"/>
      <c r="F131" s="73" t="s">
        <v>154</v>
      </c>
      <c r="G131" s="66"/>
      <c r="H131" s="22"/>
      <c r="I131" s="22"/>
      <c r="J131" s="22"/>
      <c r="K131" s="22"/>
      <c r="L131" s="22"/>
      <c r="M131" s="22"/>
      <c r="N131" s="22"/>
    </row>
    <row r="132" spans="1:14">
      <c r="A132" s="165"/>
      <c r="B132" s="66">
        <v>2210</v>
      </c>
      <c r="C132" s="66" t="s">
        <v>7</v>
      </c>
      <c r="D132" s="66">
        <v>1</v>
      </c>
      <c r="E132" s="66">
        <v>0</v>
      </c>
      <c r="F132" s="73" t="s">
        <v>209</v>
      </c>
      <c r="G132" s="66"/>
      <c r="H132" s="22"/>
      <c r="I132" s="22"/>
      <c r="J132" s="22"/>
      <c r="K132" s="22"/>
      <c r="L132" s="22"/>
      <c r="M132" s="22"/>
      <c r="N132" s="22"/>
    </row>
    <row r="133" spans="1:14" ht="48.75" customHeight="1">
      <c r="A133" s="165"/>
      <c r="B133" s="66"/>
      <c r="C133" s="66"/>
      <c r="D133" s="66"/>
      <c r="E133" s="66"/>
      <c r="F133" s="73" t="s">
        <v>156</v>
      </c>
      <c r="G133" s="66"/>
      <c r="H133" s="22"/>
      <c r="I133" s="22"/>
      <c r="J133" s="22"/>
      <c r="K133" s="22"/>
      <c r="L133" s="22"/>
      <c r="M133" s="22"/>
      <c r="N133" s="22"/>
    </row>
    <row r="134" spans="1:14">
      <c r="A134" s="165"/>
      <c r="B134" s="66">
        <v>2211</v>
      </c>
      <c r="C134" s="66" t="s">
        <v>7</v>
      </c>
      <c r="D134" s="66">
        <v>1</v>
      </c>
      <c r="E134" s="66">
        <v>1</v>
      </c>
      <c r="F134" s="73" t="s">
        <v>210</v>
      </c>
      <c r="G134" s="66"/>
      <c r="H134" s="22"/>
      <c r="I134" s="22"/>
      <c r="J134" s="22"/>
      <c r="K134" s="22"/>
      <c r="L134" s="22"/>
      <c r="M134" s="22"/>
      <c r="N134" s="22"/>
    </row>
    <row r="135" spans="1:14" ht="40.5">
      <c r="A135" s="165"/>
      <c r="B135" s="66"/>
      <c r="C135" s="66"/>
      <c r="D135" s="66"/>
      <c r="E135" s="66"/>
      <c r="F135" s="73" t="s">
        <v>177</v>
      </c>
      <c r="G135" s="66"/>
      <c r="H135" s="22"/>
      <c r="I135" s="22"/>
      <c r="J135" s="22"/>
      <c r="K135" s="22"/>
      <c r="L135" s="22"/>
      <c r="M135" s="22"/>
      <c r="N135" s="22"/>
    </row>
    <row r="136" spans="1:14">
      <c r="A136" s="165"/>
      <c r="B136" s="66"/>
      <c r="C136" s="66"/>
      <c r="D136" s="66"/>
      <c r="E136" s="66"/>
      <c r="F136" s="73" t="s">
        <v>178</v>
      </c>
      <c r="G136" s="66"/>
      <c r="H136" s="22"/>
      <c r="I136" s="22"/>
      <c r="J136" s="22"/>
      <c r="K136" s="22"/>
      <c r="L136" s="22"/>
      <c r="M136" s="22"/>
      <c r="N136" s="22"/>
    </row>
    <row r="137" spans="1:14">
      <c r="A137" s="165"/>
      <c r="B137" s="66"/>
      <c r="C137" s="66"/>
      <c r="D137" s="66"/>
      <c r="E137" s="66"/>
      <c r="F137" s="73" t="s">
        <v>178</v>
      </c>
      <c r="G137" s="66"/>
      <c r="H137" s="22"/>
      <c r="I137" s="22"/>
      <c r="J137" s="22"/>
      <c r="K137" s="22"/>
      <c r="L137" s="22"/>
      <c r="M137" s="22"/>
      <c r="N137" s="22"/>
    </row>
    <row r="138" spans="1:14">
      <c r="A138" s="165"/>
      <c r="B138" s="66">
        <v>2220</v>
      </c>
      <c r="C138" s="66" t="s">
        <v>7</v>
      </c>
      <c r="D138" s="66">
        <v>2</v>
      </c>
      <c r="E138" s="66">
        <v>0</v>
      </c>
      <c r="F138" s="73" t="s">
        <v>211</v>
      </c>
      <c r="G138" s="66"/>
      <c r="H138" s="22"/>
      <c r="I138" s="22"/>
      <c r="J138" s="22"/>
      <c r="K138" s="22"/>
      <c r="L138" s="22"/>
      <c r="M138" s="22"/>
      <c r="N138" s="22"/>
    </row>
    <row r="139" spans="1:14" ht="51" customHeight="1">
      <c r="A139" s="165"/>
      <c r="B139" s="66"/>
      <c r="C139" s="66"/>
      <c r="D139" s="66"/>
      <c r="E139" s="66"/>
      <c r="F139" s="73" t="s">
        <v>156</v>
      </c>
      <c r="G139" s="66"/>
      <c r="H139" s="22"/>
      <c r="I139" s="22"/>
      <c r="J139" s="22"/>
      <c r="K139" s="22"/>
      <c r="L139" s="22"/>
      <c r="M139" s="22"/>
      <c r="N139" s="22"/>
    </row>
    <row r="140" spans="1:14">
      <c r="A140" s="165"/>
      <c r="B140" s="66">
        <v>2221</v>
      </c>
      <c r="C140" s="66" t="s">
        <v>7</v>
      </c>
      <c r="D140" s="66">
        <v>2</v>
      </c>
      <c r="E140" s="66">
        <v>1</v>
      </c>
      <c r="F140" s="73" t="s">
        <v>211</v>
      </c>
      <c r="G140" s="66"/>
      <c r="H140" s="22"/>
      <c r="I140" s="22"/>
      <c r="J140" s="22"/>
      <c r="K140" s="22"/>
      <c r="L140" s="22"/>
      <c r="M140" s="22"/>
      <c r="N140" s="22"/>
    </row>
    <row r="141" spans="1:14" ht="40.5">
      <c r="A141" s="165"/>
      <c r="B141" s="66"/>
      <c r="C141" s="66"/>
      <c r="D141" s="66"/>
      <c r="E141" s="66"/>
      <c r="F141" s="73" t="s">
        <v>177</v>
      </c>
      <c r="G141" s="66"/>
      <c r="H141" s="22"/>
      <c r="I141" s="22"/>
      <c r="J141" s="22"/>
      <c r="K141" s="22"/>
      <c r="L141" s="22"/>
      <c r="M141" s="22"/>
      <c r="N141" s="22"/>
    </row>
    <row r="142" spans="1:14">
      <c r="A142" s="165"/>
      <c r="B142" s="66"/>
      <c r="C142" s="66"/>
      <c r="D142" s="66"/>
      <c r="E142" s="66"/>
      <c r="F142" s="73" t="s">
        <v>178</v>
      </c>
      <c r="G142" s="66"/>
      <c r="H142" s="22"/>
      <c r="I142" s="22"/>
      <c r="J142" s="22"/>
      <c r="K142" s="22"/>
      <c r="L142" s="22"/>
      <c r="M142" s="22"/>
      <c r="N142" s="22"/>
    </row>
    <row r="143" spans="1:14">
      <c r="A143" s="165"/>
      <c r="B143" s="66"/>
      <c r="C143" s="66"/>
      <c r="D143" s="66"/>
      <c r="E143" s="66"/>
      <c r="F143" s="73" t="s">
        <v>178</v>
      </c>
      <c r="G143" s="66"/>
      <c r="H143" s="22"/>
      <c r="I143" s="22"/>
      <c r="J143" s="22"/>
      <c r="K143" s="22"/>
      <c r="L143" s="22"/>
      <c r="M143" s="22"/>
      <c r="N143" s="22"/>
    </row>
    <row r="144" spans="1:14">
      <c r="A144" s="165"/>
      <c r="B144" s="66">
        <v>2230</v>
      </c>
      <c r="C144" s="66" t="s">
        <v>7</v>
      </c>
      <c r="D144" s="66">
        <v>3</v>
      </c>
      <c r="E144" s="66">
        <v>0</v>
      </c>
      <c r="F144" s="73" t="s">
        <v>213</v>
      </c>
      <c r="G144" s="66"/>
      <c r="H144" s="22"/>
      <c r="I144" s="22"/>
      <c r="J144" s="22"/>
      <c r="K144" s="22"/>
      <c r="L144" s="22"/>
      <c r="M144" s="22"/>
      <c r="N144" s="22"/>
    </row>
    <row r="145" spans="1:14" ht="52.5" customHeight="1">
      <c r="A145" s="165"/>
      <c r="B145" s="66"/>
      <c r="C145" s="66"/>
      <c r="D145" s="66"/>
      <c r="E145" s="66"/>
      <c r="F145" s="73" t="s">
        <v>156</v>
      </c>
      <c r="G145" s="66"/>
      <c r="H145" s="22"/>
      <c r="I145" s="22"/>
      <c r="J145" s="22"/>
      <c r="K145" s="22"/>
      <c r="L145" s="22"/>
      <c r="M145" s="22"/>
      <c r="N145" s="22"/>
    </row>
    <row r="146" spans="1:14">
      <c r="A146" s="165"/>
      <c r="B146" s="66">
        <v>2231</v>
      </c>
      <c r="C146" s="66" t="s">
        <v>7</v>
      </c>
      <c r="D146" s="66">
        <v>3</v>
      </c>
      <c r="E146" s="66">
        <v>1</v>
      </c>
      <c r="F146" s="73" t="s">
        <v>214</v>
      </c>
      <c r="G146" s="66"/>
      <c r="H146" s="22"/>
      <c r="I146" s="22"/>
      <c r="J146" s="22"/>
      <c r="K146" s="22"/>
      <c r="L146" s="22"/>
      <c r="M146" s="22"/>
      <c r="N146" s="22"/>
    </row>
    <row r="147" spans="1:14" ht="40.5">
      <c r="A147" s="165"/>
      <c r="B147" s="66"/>
      <c r="C147" s="66"/>
      <c r="D147" s="66"/>
      <c r="E147" s="66"/>
      <c r="F147" s="73" t="s">
        <v>177</v>
      </c>
      <c r="G147" s="66"/>
      <c r="H147" s="22"/>
      <c r="I147" s="22"/>
      <c r="J147" s="22"/>
      <c r="K147" s="22"/>
      <c r="L147" s="22"/>
      <c r="M147" s="22"/>
      <c r="N147" s="22"/>
    </row>
    <row r="148" spans="1:14" ht="35.25" customHeight="1">
      <c r="A148" s="165"/>
      <c r="B148" s="66"/>
      <c r="C148" s="66"/>
      <c r="D148" s="66"/>
      <c r="E148" s="66"/>
      <c r="F148" s="73" t="s">
        <v>178</v>
      </c>
      <c r="G148" s="66"/>
      <c r="H148" s="22"/>
      <c r="I148" s="22"/>
      <c r="J148" s="22"/>
      <c r="K148" s="22"/>
      <c r="L148" s="22"/>
      <c r="M148" s="22"/>
      <c r="N148" s="22"/>
    </row>
    <row r="149" spans="1:14">
      <c r="A149" s="165"/>
      <c r="B149" s="66"/>
      <c r="C149" s="66"/>
      <c r="D149" s="66"/>
      <c r="E149" s="66"/>
      <c r="F149" s="73" t="s">
        <v>178</v>
      </c>
      <c r="G149" s="66"/>
      <c r="H149" s="22"/>
      <c r="I149" s="22"/>
      <c r="J149" s="22"/>
      <c r="K149" s="22"/>
      <c r="L149" s="22"/>
      <c r="M149" s="22"/>
      <c r="N149" s="22"/>
    </row>
    <row r="150" spans="1:14" ht="35.25" customHeight="1">
      <c r="A150" s="165"/>
      <c r="B150" s="66">
        <v>2240</v>
      </c>
      <c r="C150" s="66" t="s">
        <v>7</v>
      </c>
      <c r="D150" s="66">
        <v>4</v>
      </c>
      <c r="E150" s="66">
        <v>0</v>
      </c>
      <c r="F150" s="73" t="s">
        <v>215</v>
      </c>
      <c r="G150" s="66"/>
      <c r="H150" s="22"/>
      <c r="I150" s="22"/>
      <c r="J150" s="22"/>
      <c r="K150" s="22"/>
      <c r="L150" s="22"/>
      <c r="M150" s="22"/>
      <c r="N150" s="22"/>
    </row>
    <row r="151" spans="1:14">
      <c r="A151" s="165"/>
      <c r="B151" s="66"/>
      <c r="C151" s="66"/>
      <c r="D151" s="66"/>
      <c r="E151" s="66"/>
      <c r="F151" s="73" t="s">
        <v>156</v>
      </c>
      <c r="G151" s="66"/>
      <c r="H151" s="22"/>
      <c r="I151" s="22"/>
      <c r="J151" s="22"/>
      <c r="K151" s="22"/>
      <c r="L151" s="22"/>
      <c r="M151" s="22"/>
      <c r="N151" s="22"/>
    </row>
    <row r="152" spans="1:14" ht="27">
      <c r="A152" s="165"/>
      <c r="B152" s="66">
        <v>2241</v>
      </c>
      <c r="C152" s="66" t="s">
        <v>7</v>
      </c>
      <c r="D152" s="66">
        <v>4</v>
      </c>
      <c r="E152" s="66">
        <v>1</v>
      </c>
      <c r="F152" s="73" t="s">
        <v>215</v>
      </c>
      <c r="G152" s="66"/>
      <c r="H152" s="22"/>
      <c r="I152" s="22"/>
      <c r="J152" s="22"/>
      <c r="K152" s="22"/>
      <c r="L152" s="22"/>
      <c r="M152" s="22"/>
      <c r="N152" s="22"/>
    </row>
    <row r="153" spans="1:14">
      <c r="A153" s="165"/>
      <c r="B153" s="66"/>
      <c r="C153" s="66"/>
      <c r="D153" s="66"/>
      <c r="E153" s="66"/>
      <c r="F153" s="73" t="s">
        <v>156</v>
      </c>
      <c r="G153" s="66"/>
      <c r="H153" s="22"/>
      <c r="I153" s="22"/>
      <c r="J153" s="22"/>
      <c r="K153" s="22"/>
      <c r="L153" s="22"/>
      <c r="M153" s="22"/>
      <c r="N153" s="22"/>
    </row>
    <row r="154" spans="1:14">
      <c r="A154" s="165"/>
      <c r="B154" s="66">
        <v>2250</v>
      </c>
      <c r="C154" s="66" t="s">
        <v>7</v>
      </c>
      <c r="D154" s="66">
        <v>5</v>
      </c>
      <c r="E154" s="66">
        <v>0</v>
      </c>
      <c r="F154" s="73" t="s">
        <v>216</v>
      </c>
      <c r="G154" s="66"/>
      <c r="H154" s="22">
        <f t="shared" ref="H154:N154" si="28">H156</f>
        <v>2400</v>
      </c>
      <c r="I154" s="22">
        <f t="shared" si="28"/>
        <v>2400</v>
      </c>
      <c r="J154" s="22">
        <f t="shared" si="28"/>
        <v>0</v>
      </c>
      <c r="K154" s="22">
        <f t="shared" si="28"/>
        <v>571.42857142857144</v>
      </c>
      <c r="L154" s="22">
        <f t="shared" si="28"/>
        <v>1152.3809523809523</v>
      </c>
      <c r="M154" s="22">
        <f t="shared" si="28"/>
        <v>1780.952380952381</v>
      </c>
      <c r="N154" s="22">
        <f t="shared" si="28"/>
        <v>2400</v>
      </c>
    </row>
    <row r="155" spans="1:14" ht="50.25" customHeight="1">
      <c r="A155" s="165"/>
      <c r="B155" s="66"/>
      <c r="C155" s="66"/>
      <c r="D155" s="66"/>
      <c r="E155" s="66"/>
      <c r="F155" s="73" t="s">
        <v>156</v>
      </c>
      <c r="G155" s="66"/>
      <c r="H155" s="22"/>
      <c r="I155" s="22"/>
      <c r="J155" s="22"/>
      <c r="K155" s="22"/>
      <c r="L155" s="22"/>
      <c r="M155" s="22"/>
      <c r="N155" s="22"/>
    </row>
    <row r="156" spans="1:14">
      <c r="A156" s="165"/>
      <c r="B156" s="66">
        <v>2251</v>
      </c>
      <c r="C156" s="66" t="s">
        <v>7</v>
      </c>
      <c r="D156" s="66">
        <v>5</v>
      </c>
      <c r="E156" s="66">
        <v>1</v>
      </c>
      <c r="F156" s="73" t="s">
        <v>216</v>
      </c>
      <c r="G156" s="66"/>
      <c r="H156" s="22">
        <f>+H158+H159+H160+H161+H162</f>
        <v>2400</v>
      </c>
      <c r="I156" s="22">
        <f t="shared" ref="I156:N156" si="29">+I158+I159+I160+I161+I162</f>
        <v>2400</v>
      </c>
      <c r="J156" s="22">
        <f t="shared" si="29"/>
        <v>0</v>
      </c>
      <c r="K156" s="22">
        <f t="shared" si="29"/>
        <v>571.42857142857144</v>
      </c>
      <c r="L156" s="22">
        <f t="shared" si="29"/>
        <v>1152.3809523809523</v>
      </c>
      <c r="M156" s="22">
        <f t="shared" si="29"/>
        <v>1780.952380952381</v>
      </c>
      <c r="N156" s="22">
        <f t="shared" si="29"/>
        <v>2400</v>
      </c>
    </row>
    <row r="157" spans="1:14" ht="40.5">
      <c r="A157" s="165"/>
      <c r="B157" s="66"/>
      <c r="C157" s="66"/>
      <c r="D157" s="66"/>
      <c r="E157" s="66"/>
      <c r="F157" s="73" t="s">
        <v>177</v>
      </c>
      <c r="G157" s="230"/>
      <c r="H157" s="230"/>
      <c r="I157" s="230"/>
      <c r="J157" s="22"/>
      <c r="K157" s="22"/>
      <c r="L157" s="22"/>
      <c r="M157" s="22"/>
      <c r="N157" s="22"/>
    </row>
    <row r="158" spans="1:14">
      <c r="A158" s="165"/>
      <c r="B158" s="66"/>
      <c r="C158" s="66"/>
      <c r="D158" s="66"/>
      <c r="E158" s="66"/>
      <c r="F158" s="229" t="s">
        <v>413</v>
      </c>
      <c r="G158" s="66">
        <v>4261</v>
      </c>
      <c r="H158" s="22">
        <f>+I158+J158</f>
        <v>600</v>
      </c>
      <c r="I158" s="22">
        <v>600</v>
      </c>
      <c r="J158" s="22"/>
      <c r="K158" s="156">
        <f t="shared" ref="K158:K159" si="30">+H158/252*60</f>
        <v>142.85714285714286</v>
      </c>
      <c r="L158" s="156">
        <f t="shared" ref="L158:L159" si="31">+H158/252*121</f>
        <v>288.09523809523807</v>
      </c>
      <c r="M158" s="156">
        <f t="shared" ref="M158:M159" si="32">+H158/252*187</f>
        <v>445.23809523809524</v>
      </c>
      <c r="N158" s="156">
        <f t="shared" ref="N158:N159" si="33">+H158</f>
        <v>600</v>
      </c>
    </row>
    <row r="159" spans="1:14" ht="32.25" customHeight="1">
      <c r="A159" s="165"/>
      <c r="B159" s="66"/>
      <c r="C159" s="66"/>
      <c r="D159" s="66"/>
      <c r="E159" s="66"/>
      <c r="F159" s="246" t="s">
        <v>546</v>
      </c>
      <c r="G159" s="66">
        <v>4264</v>
      </c>
      <c r="H159" s="22">
        <f>+I159+J159</f>
        <v>800</v>
      </c>
      <c r="I159" s="22">
        <v>800</v>
      </c>
      <c r="J159" s="22"/>
      <c r="K159" s="156">
        <f t="shared" si="30"/>
        <v>190.47619047619045</v>
      </c>
      <c r="L159" s="156">
        <f t="shared" si="31"/>
        <v>384.1269841269841</v>
      </c>
      <c r="M159" s="156">
        <f t="shared" si="32"/>
        <v>593.65079365079362</v>
      </c>
      <c r="N159" s="156">
        <f t="shared" si="33"/>
        <v>800</v>
      </c>
    </row>
    <row r="160" spans="1:14">
      <c r="A160" s="165"/>
      <c r="B160" s="66"/>
      <c r="C160" s="66"/>
      <c r="D160" s="66"/>
      <c r="E160" s="66"/>
      <c r="F160" s="73" t="s">
        <v>749</v>
      </c>
      <c r="G160" s="66" t="s">
        <v>50</v>
      </c>
      <c r="H160" s="22">
        <f>+I160+J160</f>
        <v>0</v>
      </c>
      <c r="I160" s="22"/>
      <c r="J160" s="22"/>
      <c r="K160" s="86"/>
      <c r="L160" s="86"/>
      <c r="M160" s="86"/>
      <c r="N160" s="86"/>
    </row>
    <row r="161" spans="1:14" ht="27">
      <c r="A161" s="165"/>
      <c r="B161" s="66"/>
      <c r="C161" s="66"/>
      <c r="D161" s="66"/>
      <c r="E161" s="66"/>
      <c r="F161" s="73" t="s">
        <v>555</v>
      </c>
      <c r="G161" s="66" t="s">
        <v>61</v>
      </c>
      <c r="H161" s="22"/>
      <c r="I161" s="22"/>
      <c r="J161" s="22"/>
      <c r="K161" s="86"/>
      <c r="L161" s="86"/>
      <c r="M161" s="86"/>
      <c r="N161" s="86"/>
    </row>
    <row r="162" spans="1:14">
      <c r="A162" s="165"/>
      <c r="B162" s="66"/>
      <c r="C162" s="66"/>
      <c r="D162" s="66"/>
      <c r="E162" s="66"/>
      <c r="F162" s="73" t="s">
        <v>166</v>
      </c>
      <c r="G162" s="66" t="s">
        <v>40</v>
      </c>
      <c r="H162" s="22">
        <f>+I162+J162</f>
        <v>1000</v>
      </c>
      <c r="I162" s="22">
        <v>1000</v>
      </c>
      <c r="J162" s="22"/>
      <c r="K162" s="156">
        <f t="shared" ref="K162" si="34">+H162/252*60</f>
        <v>238.0952380952381</v>
      </c>
      <c r="L162" s="156">
        <f t="shared" ref="L162" si="35">+H162/252*121</f>
        <v>480.15873015873018</v>
      </c>
      <c r="M162" s="156">
        <f t="shared" ref="M162" si="36">+H162/252*187</f>
        <v>742.06349206349205</v>
      </c>
      <c r="N162" s="156">
        <f t="shared" ref="N162" si="37">+H162</f>
        <v>1000</v>
      </c>
    </row>
    <row r="163" spans="1:14" ht="21.75" customHeight="1">
      <c r="A163" s="165"/>
      <c r="B163" s="66">
        <v>2300</v>
      </c>
      <c r="C163" s="66" t="s">
        <v>8</v>
      </c>
      <c r="D163" s="66">
        <v>0</v>
      </c>
      <c r="E163" s="66">
        <v>0</v>
      </c>
      <c r="F163" s="73" t="s">
        <v>217</v>
      </c>
      <c r="G163" s="66"/>
      <c r="H163" s="22"/>
      <c r="I163" s="22"/>
      <c r="J163" s="22"/>
      <c r="K163" s="22"/>
      <c r="L163" s="22"/>
      <c r="M163" s="22"/>
      <c r="N163" s="22"/>
    </row>
    <row r="164" spans="1:14">
      <c r="A164" s="165"/>
      <c r="B164" s="66"/>
      <c r="C164" s="66"/>
      <c r="D164" s="66"/>
      <c r="E164" s="66"/>
      <c r="F164" s="73" t="s">
        <v>154</v>
      </c>
      <c r="G164" s="66"/>
      <c r="H164" s="22"/>
      <c r="I164" s="22"/>
      <c r="J164" s="22"/>
      <c r="K164" s="22"/>
      <c r="L164" s="22"/>
      <c r="M164" s="22"/>
      <c r="N164" s="22"/>
    </row>
    <row r="165" spans="1:14" ht="21" customHeight="1">
      <c r="A165" s="165"/>
      <c r="B165" s="66">
        <v>2310</v>
      </c>
      <c r="C165" s="66" t="s">
        <v>8</v>
      </c>
      <c r="D165" s="66">
        <v>1</v>
      </c>
      <c r="E165" s="66">
        <v>0</v>
      </c>
      <c r="F165" s="73" t="s">
        <v>218</v>
      </c>
      <c r="G165" s="66"/>
      <c r="H165" s="22"/>
      <c r="I165" s="22"/>
      <c r="J165" s="22"/>
      <c r="K165" s="22"/>
      <c r="L165" s="22"/>
      <c r="M165" s="22"/>
      <c r="N165" s="22"/>
    </row>
    <row r="166" spans="1:14" ht="50.25" customHeight="1">
      <c r="A166" s="165"/>
      <c r="B166" s="66"/>
      <c r="C166" s="66"/>
      <c r="D166" s="66"/>
      <c r="E166" s="66"/>
      <c r="F166" s="73" t="s">
        <v>156</v>
      </c>
      <c r="G166" s="66"/>
      <c r="H166" s="22"/>
      <c r="I166" s="22"/>
      <c r="J166" s="22"/>
      <c r="K166" s="22"/>
      <c r="L166" s="22"/>
      <c r="M166" s="22"/>
      <c r="N166" s="22"/>
    </row>
    <row r="167" spans="1:14">
      <c r="A167" s="165"/>
      <c r="B167" s="66">
        <v>2311</v>
      </c>
      <c r="C167" s="66" t="s">
        <v>8</v>
      </c>
      <c r="D167" s="66">
        <v>1</v>
      </c>
      <c r="E167" s="66">
        <v>1</v>
      </c>
      <c r="F167" s="73" t="s">
        <v>219</v>
      </c>
      <c r="G167" s="66"/>
      <c r="H167" s="22"/>
      <c r="I167" s="22"/>
      <c r="J167" s="22"/>
      <c r="K167" s="22"/>
      <c r="L167" s="22"/>
      <c r="M167" s="22"/>
      <c r="N167" s="22"/>
    </row>
    <row r="168" spans="1:14" ht="40.5">
      <c r="A168" s="165"/>
      <c r="B168" s="66"/>
      <c r="C168" s="66"/>
      <c r="D168" s="66"/>
      <c r="E168" s="66"/>
      <c r="F168" s="73" t="s">
        <v>177</v>
      </c>
      <c r="G168" s="66"/>
      <c r="H168" s="22"/>
      <c r="I168" s="22"/>
      <c r="J168" s="22"/>
      <c r="K168" s="22"/>
      <c r="L168" s="22"/>
      <c r="M168" s="22"/>
      <c r="N168" s="22"/>
    </row>
    <row r="169" spans="1:14">
      <c r="A169" s="165"/>
      <c r="B169" s="66"/>
      <c r="C169" s="66"/>
      <c r="D169" s="66"/>
      <c r="E169" s="66"/>
      <c r="F169" s="73" t="s">
        <v>178</v>
      </c>
      <c r="G169" s="66"/>
      <c r="H169" s="22"/>
      <c r="I169" s="22"/>
      <c r="J169" s="22"/>
      <c r="K169" s="22"/>
      <c r="L169" s="22"/>
      <c r="M169" s="22"/>
      <c r="N169" s="22"/>
    </row>
    <row r="170" spans="1:14" ht="48" customHeight="1">
      <c r="A170" s="165"/>
      <c r="B170" s="66"/>
      <c r="C170" s="66"/>
      <c r="D170" s="66"/>
      <c r="E170" s="66"/>
      <c r="F170" s="73" t="s">
        <v>178</v>
      </c>
      <c r="G170" s="66"/>
      <c r="H170" s="22"/>
      <c r="I170" s="22"/>
      <c r="J170" s="22"/>
      <c r="K170" s="22"/>
      <c r="L170" s="22"/>
      <c r="M170" s="22"/>
      <c r="N170" s="22"/>
    </row>
    <row r="171" spans="1:14">
      <c r="A171" s="165"/>
      <c r="B171" s="66">
        <v>2312</v>
      </c>
      <c r="C171" s="66" t="s">
        <v>8</v>
      </c>
      <c r="D171" s="66">
        <v>1</v>
      </c>
      <c r="E171" s="66">
        <v>2</v>
      </c>
      <c r="F171" s="73" t="s">
        <v>220</v>
      </c>
      <c r="G171" s="66"/>
      <c r="H171" s="22"/>
      <c r="I171" s="22"/>
      <c r="J171" s="22"/>
      <c r="K171" s="22"/>
      <c r="L171" s="22"/>
      <c r="M171" s="22"/>
      <c r="N171" s="22"/>
    </row>
    <row r="172" spans="1:14" ht="40.5">
      <c r="A172" s="165"/>
      <c r="B172" s="66"/>
      <c r="C172" s="66"/>
      <c r="D172" s="66"/>
      <c r="E172" s="66"/>
      <c r="F172" s="73" t="s">
        <v>177</v>
      </c>
      <c r="G172" s="66"/>
      <c r="H172" s="22"/>
      <c r="I172" s="22"/>
      <c r="J172" s="22"/>
      <c r="K172" s="22"/>
      <c r="L172" s="22"/>
      <c r="M172" s="22"/>
      <c r="N172" s="22"/>
    </row>
    <row r="173" spans="1:14">
      <c r="A173" s="165"/>
      <c r="B173" s="66"/>
      <c r="C173" s="66"/>
      <c r="D173" s="66"/>
      <c r="E173" s="66"/>
      <c r="F173" s="73" t="s">
        <v>178</v>
      </c>
      <c r="G173" s="66"/>
      <c r="H173" s="22"/>
      <c r="I173" s="22"/>
      <c r="J173" s="22"/>
      <c r="K173" s="22"/>
      <c r="L173" s="22"/>
      <c r="M173" s="22"/>
      <c r="N173" s="22"/>
    </row>
    <row r="174" spans="1:14" ht="50.25" customHeight="1">
      <c r="A174" s="165"/>
      <c r="B174" s="66"/>
      <c r="C174" s="66"/>
      <c r="D174" s="66"/>
      <c r="E174" s="66"/>
      <c r="F174" s="73" t="s">
        <v>178</v>
      </c>
      <c r="G174" s="66"/>
      <c r="H174" s="22"/>
      <c r="I174" s="22"/>
      <c r="J174" s="22"/>
      <c r="K174" s="22"/>
      <c r="L174" s="22"/>
      <c r="M174" s="22"/>
      <c r="N174" s="22"/>
    </row>
    <row r="175" spans="1:14">
      <c r="A175" s="165"/>
      <c r="B175" s="66">
        <v>2313</v>
      </c>
      <c r="C175" s="66" t="s">
        <v>8</v>
      </c>
      <c r="D175" s="66">
        <v>1</v>
      </c>
      <c r="E175" s="66">
        <v>3</v>
      </c>
      <c r="F175" s="73" t="s">
        <v>221</v>
      </c>
      <c r="G175" s="66"/>
      <c r="H175" s="22"/>
      <c r="I175" s="22"/>
      <c r="J175" s="22"/>
      <c r="K175" s="22"/>
      <c r="L175" s="22"/>
      <c r="M175" s="22"/>
      <c r="N175" s="22"/>
    </row>
    <row r="176" spans="1:14" ht="40.5">
      <c r="A176" s="165"/>
      <c r="B176" s="66"/>
      <c r="C176" s="66"/>
      <c r="D176" s="66"/>
      <c r="E176" s="66"/>
      <c r="F176" s="73" t="s">
        <v>177</v>
      </c>
      <c r="G176" s="66"/>
      <c r="H176" s="22"/>
      <c r="I176" s="22"/>
      <c r="J176" s="22"/>
      <c r="K176" s="22"/>
      <c r="L176" s="22"/>
      <c r="M176" s="22"/>
      <c r="N176" s="22"/>
    </row>
    <row r="177" spans="1:14">
      <c r="A177" s="165"/>
      <c r="B177" s="66"/>
      <c r="C177" s="66"/>
      <c r="D177" s="66"/>
      <c r="E177" s="66"/>
      <c r="F177" s="73" t="s">
        <v>178</v>
      </c>
      <c r="G177" s="66"/>
      <c r="H177" s="22"/>
      <c r="I177" s="22"/>
      <c r="J177" s="22"/>
      <c r="K177" s="22"/>
      <c r="L177" s="22"/>
      <c r="M177" s="22"/>
      <c r="N177" s="22"/>
    </row>
    <row r="178" spans="1:14">
      <c r="A178" s="165"/>
      <c r="B178" s="66"/>
      <c r="C178" s="66"/>
      <c r="D178" s="66"/>
      <c r="E178" s="66"/>
      <c r="F178" s="73" t="s">
        <v>178</v>
      </c>
      <c r="G178" s="66"/>
      <c r="H178" s="22"/>
      <c r="I178" s="22"/>
      <c r="J178" s="22"/>
      <c r="K178" s="22"/>
      <c r="L178" s="22"/>
      <c r="M178" s="22"/>
      <c r="N178" s="22"/>
    </row>
    <row r="179" spans="1:14">
      <c r="A179" s="165"/>
      <c r="B179" s="66">
        <v>2320</v>
      </c>
      <c r="C179" s="66" t="s">
        <v>8</v>
      </c>
      <c r="D179" s="66">
        <v>2</v>
      </c>
      <c r="E179" s="66">
        <v>0</v>
      </c>
      <c r="F179" s="73" t="s">
        <v>222</v>
      </c>
      <c r="G179" s="66"/>
      <c r="H179" s="22"/>
      <c r="I179" s="22"/>
      <c r="J179" s="22"/>
      <c r="K179" s="22"/>
      <c r="L179" s="22"/>
      <c r="M179" s="22"/>
      <c r="N179" s="22"/>
    </row>
    <row r="180" spans="1:14" ht="54.75" customHeight="1">
      <c r="A180" s="165"/>
      <c r="B180" s="66"/>
      <c r="C180" s="66"/>
      <c r="D180" s="66"/>
      <c r="E180" s="66"/>
      <c r="F180" s="73" t="s">
        <v>156</v>
      </c>
      <c r="G180" s="66"/>
      <c r="H180" s="22"/>
      <c r="I180" s="22"/>
      <c r="J180" s="22"/>
      <c r="K180" s="22"/>
      <c r="L180" s="22"/>
      <c r="M180" s="22"/>
      <c r="N180" s="22"/>
    </row>
    <row r="181" spans="1:14">
      <c r="A181" s="165"/>
      <c r="B181" s="66">
        <v>2321</v>
      </c>
      <c r="C181" s="66" t="s">
        <v>8</v>
      </c>
      <c r="D181" s="66">
        <v>2</v>
      </c>
      <c r="E181" s="66">
        <v>1</v>
      </c>
      <c r="F181" s="73" t="s">
        <v>223</v>
      </c>
      <c r="G181" s="66"/>
      <c r="H181" s="22"/>
      <c r="I181" s="22"/>
      <c r="J181" s="22"/>
      <c r="K181" s="22"/>
      <c r="L181" s="22"/>
      <c r="M181" s="22"/>
      <c r="N181" s="22"/>
    </row>
    <row r="182" spans="1:14" ht="40.5">
      <c r="A182" s="165"/>
      <c r="B182" s="66"/>
      <c r="C182" s="66"/>
      <c r="D182" s="66"/>
      <c r="E182" s="66"/>
      <c r="F182" s="73" t="s">
        <v>177</v>
      </c>
      <c r="G182" s="66"/>
      <c r="H182" s="22"/>
      <c r="I182" s="22"/>
      <c r="J182" s="22"/>
      <c r="K182" s="22"/>
      <c r="L182" s="22"/>
      <c r="M182" s="22"/>
      <c r="N182" s="22"/>
    </row>
    <row r="183" spans="1:14" ht="33.75" customHeight="1">
      <c r="A183" s="165"/>
      <c r="B183" s="66"/>
      <c r="C183" s="66"/>
      <c r="D183" s="66"/>
      <c r="E183" s="66"/>
      <c r="F183" s="73" t="s">
        <v>178</v>
      </c>
      <c r="G183" s="66"/>
      <c r="H183" s="22"/>
      <c r="I183" s="22"/>
      <c r="J183" s="22"/>
      <c r="K183" s="22"/>
      <c r="L183" s="22"/>
      <c r="M183" s="22"/>
      <c r="N183" s="22"/>
    </row>
    <row r="184" spans="1:14">
      <c r="A184" s="165"/>
      <c r="B184" s="66"/>
      <c r="C184" s="66"/>
      <c r="D184" s="66"/>
      <c r="E184" s="66"/>
      <c r="F184" s="73" t="s">
        <v>178</v>
      </c>
      <c r="G184" s="66"/>
      <c r="H184" s="22"/>
      <c r="I184" s="22"/>
      <c r="J184" s="22"/>
      <c r="K184" s="22"/>
      <c r="L184" s="22"/>
      <c r="M184" s="22"/>
      <c r="N184" s="22"/>
    </row>
    <row r="185" spans="1:14" ht="27">
      <c r="A185" s="165"/>
      <c r="B185" s="66">
        <v>2330</v>
      </c>
      <c r="C185" s="66" t="s">
        <v>8</v>
      </c>
      <c r="D185" s="66">
        <v>3</v>
      </c>
      <c r="E185" s="66">
        <v>0</v>
      </c>
      <c r="F185" s="73" t="s">
        <v>224</v>
      </c>
      <c r="G185" s="66"/>
      <c r="H185" s="22"/>
      <c r="I185" s="22"/>
      <c r="J185" s="22"/>
      <c r="K185" s="22"/>
      <c r="L185" s="22"/>
      <c r="M185" s="22"/>
      <c r="N185" s="22"/>
    </row>
    <row r="186" spans="1:14" ht="48.75" customHeight="1">
      <c r="A186" s="165"/>
      <c r="B186" s="66"/>
      <c r="C186" s="66"/>
      <c r="D186" s="66"/>
      <c r="E186" s="66"/>
      <c r="F186" s="73" t="s">
        <v>156</v>
      </c>
      <c r="G186" s="66"/>
      <c r="H186" s="22"/>
      <c r="I186" s="22"/>
      <c r="J186" s="22"/>
      <c r="K186" s="22"/>
      <c r="L186" s="22"/>
      <c r="M186" s="22"/>
      <c r="N186" s="22"/>
    </row>
    <row r="187" spans="1:14">
      <c r="A187" s="165"/>
      <c r="B187" s="66">
        <v>2331</v>
      </c>
      <c r="C187" s="66" t="s">
        <v>8</v>
      </c>
      <c r="D187" s="66">
        <v>3</v>
      </c>
      <c r="E187" s="66">
        <v>1</v>
      </c>
      <c r="F187" s="73" t="s">
        <v>225</v>
      </c>
      <c r="G187" s="66"/>
      <c r="H187" s="22"/>
      <c r="I187" s="22"/>
      <c r="J187" s="22"/>
      <c r="K187" s="22"/>
      <c r="L187" s="22"/>
      <c r="M187" s="22"/>
      <c r="N187" s="22"/>
    </row>
    <row r="188" spans="1:14" ht="40.5">
      <c r="A188" s="165"/>
      <c r="B188" s="66"/>
      <c r="C188" s="66"/>
      <c r="D188" s="66"/>
      <c r="E188" s="66"/>
      <c r="F188" s="73" t="s">
        <v>177</v>
      </c>
      <c r="G188" s="66"/>
      <c r="H188" s="22"/>
      <c r="I188" s="22"/>
      <c r="J188" s="22"/>
      <c r="K188" s="22"/>
      <c r="L188" s="22"/>
      <c r="M188" s="22"/>
      <c r="N188" s="22"/>
    </row>
    <row r="189" spans="1:14">
      <c r="A189" s="165"/>
      <c r="B189" s="66"/>
      <c r="C189" s="66"/>
      <c r="D189" s="66"/>
      <c r="E189" s="66"/>
      <c r="F189" s="73" t="s">
        <v>178</v>
      </c>
      <c r="G189" s="66"/>
      <c r="H189" s="22"/>
      <c r="I189" s="22"/>
      <c r="J189" s="22"/>
      <c r="K189" s="22"/>
      <c r="L189" s="22"/>
      <c r="M189" s="22"/>
      <c r="N189" s="22"/>
    </row>
    <row r="190" spans="1:14" ht="55.5" customHeight="1">
      <c r="A190" s="165"/>
      <c r="B190" s="66"/>
      <c r="C190" s="66"/>
      <c r="D190" s="66"/>
      <c r="E190" s="66"/>
      <c r="F190" s="73" t="s">
        <v>178</v>
      </c>
      <c r="G190" s="66"/>
      <c r="H190" s="22"/>
      <c r="I190" s="22"/>
      <c r="J190" s="22"/>
      <c r="K190" s="22"/>
      <c r="L190" s="22"/>
      <c r="M190" s="22"/>
      <c r="N190" s="22"/>
    </row>
    <row r="191" spans="1:14">
      <c r="A191" s="165"/>
      <c r="B191" s="66">
        <v>2332</v>
      </c>
      <c r="C191" s="66" t="s">
        <v>8</v>
      </c>
      <c r="D191" s="66">
        <v>3</v>
      </c>
      <c r="E191" s="66">
        <v>2</v>
      </c>
      <c r="F191" s="73" t="s">
        <v>226</v>
      </c>
      <c r="G191" s="66"/>
      <c r="H191" s="22"/>
      <c r="I191" s="22"/>
      <c r="J191" s="22"/>
      <c r="K191" s="22"/>
      <c r="L191" s="22"/>
      <c r="M191" s="22"/>
      <c r="N191" s="22"/>
    </row>
    <row r="192" spans="1:14" ht="40.5">
      <c r="A192" s="165"/>
      <c r="B192" s="66"/>
      <c r="C192" s="66"/>
      <c r="D192" s="66"/>
      <c r="E192" s="66"/>
      <c r="F192" s="73" t="s">
        <v>177</v>
      </c>
      <c r="G192" s="66"/>
      <c r="H192" s="22"/>
      <c r="I192" s="22"/>
      <c r="J192" s="22"/>
      <c r="K192" s="22"/>
      <c r="L192" s="22"/>
      <c r="M192" s="22"/>
      <c r="N192" s="22"/>
    </row>
    <row r="193" spans="1:14">
      <c r="A193" s="165"/>
      <c r="B193" s="66"/>
      <c r="C193" s="66"/>
      <c r="D193" s="66"/>
      <c r="E193" s="66"/>
      <c r="F193" s="73" t="s">
        <v>178</v>
      </c>
      <c r="G193" s="66"/>
      <c r="H193" s="22"/>
      <c r="I193" s="22"/>
      <c r="J193" s="22"/>
      <c r="K193" s="22"/>
      <c r="L193" s="22"/>
      <c r="M193" s="22"/>
      <c r="N193" s="22"/>
    </row>
    <row r="194" spans="1:14">
      <c r="A194" s="165"/>
      <c r="B194" s="66"/>
      <c r="C194" s="66"/>
      <c r="D194" s="66"/>
      <c r="E194" s="66"/>
      <c r="F194" s="73" t="s">
        <v>178</v>
      </c>
      <c r="G194" s="66"/>
      <c r="H194" s="22"/>
      <c r="I194" s="22"/>
      <c r="J194" s="22"/>
      <c r="K194" s="22"/>
      <c r="L194" s="22"/>
      <c r="M194" s="22"/>
      <c r="N194" s="22"/>
    </row>
    <row r="195" spans="1:14">
      <c r="A195" s="165"/>
      <c r="B195" s="66">
        <v>2340</v>
      </c>
      <c r="C195" s="66" t="s">
        <v>8</v>
      </c>
      <c r="D195" s="66">
        <v>4</v>
      </c>
      <c r="E195" s="66">
        <v>0</v>
      </c>
      <c r="F195" s="73" t="s">
        <v>227</v>
      </c>
      <c r="G195" s="66"/>
      <c r="H195" s="22"/>
      <c r="I195" s="22"/>
      <c r="J195" s="22"/>
      <c r="K195" s="22"/>
      <c r="L195" s="22"/>
      <c r="M195" s="22"/>
      <c r="N195" s="22"/>
    </row>
    <row r="196" spans="1:14" ht="53.25" customHeight="1">
      <c r="A196" s="165"/>
      <c r="B196" s="66"/>
      <c r="C196" s="66"/>
      <c r="D196" s="66"/>
      <c r="E196" s="66"/>
      <c r="F196" s="73" t="s">
        <v>156</v>
      </c>
      <c r="G196" s="66"/>
      <c r="H196" s="22"/>
      <c r="I196" s="22"/>
      <c r="J196" s="22"/>
      <c r="K196" s="22"/>
      <c r="L196" s="22"/>
      <c r="M196" s="22"/>
      <c r="N196" s="22"/>
    </row>
    <row r="197" spans="1:14">
      <c r="A197" s="165"/>
      <c r="B197" s="66">
        <v>2341</v>
      </c>
      <c r="C197" s="66" t="s">
        <v>8</v>
      </c>
      <c r="D197" s="66">
        <v>4</v>
      </c>
      <c r="E197" s="66">
        <v>1</v>
      </c>
      <c r="F197" s="73" t="s">
        <v>227</v>
      </c>
      <c r="G197" s="66"/>
      <c r="H197" s="22"/>
      <c r="I197" s="22"/>
      <c r="J197" s="22"/>
      <c r="K197" s="22"/>
      <c r="L197" s="22"/>
      <c r="M197" s="22"/>
      <c r="N197" s="22"/>
    </row>
    <row r="198" spans="1:14" ht="40.5">
      <c r="A198" s="165"/>
      <c r="B198" s="66"/>
      <c r="C198" s="66"/>
      <c r="D198" s="66"/>
      <c r="E198" s="66"/>
      <c r="F198" s="73" t="s">
        <v>177</v>
      </c>
      <c r="G198" s="66"/>
      <c r="H198" s="22"/>
      <c r="I198" s="22"/>
      <c r="J198" s="22"/>
      <c r="K198" s="22"/>
      <c r="L198" s="22"/>
      <c r="M198" s="22"/>
      <c r="N198" s="22"/>
    </row>
    <row r="199" spans="1:14">
      <c r="A199" s="165"/>
      <c r="B199" s="66"/>
      <c r="C199" s="66"/>
      <c r="D199" s="66"/>
      <c r="E199" s="66"/>
      <c r="F199" s="73" t="s">
        <v>178</v>
      </c>
      <c r="G199" s="66"/>
      <c r="H199" s="22"/>
      <c r="I199" s="22"/>
      <c r="J199" s="22"/>
      <c r="K199" s="22"/>
      <c r="L199" s="22"/>
      <c r="M199" s="22"/>
      <c r="N199" s="22"/>
    </row>
    <row r="200" spans="1:14">
      <c r="A200" s="165"/>
      <c r="B200" s="66"/>
      <c r="C200" s="66"/>
      <c r="D200" s="66"/>
      <c r="E200" s="66"/>
      <c r="F200" s="73" t="s">
        <v>178</v>
      </c>
      <c r="G200" s="66"/>
      <c r="H200" s="22"/>
      <c r="I200" s="22"/>
      <c r="J200" s="22"/>
      <c r="K200" s="22"/>
      <c r="L200" s="22"/>
      <c r="M200" s="22"/>
      <c r="N200" s="22"/>
    </row>
    <row r="201" spans="1:14">
      <c r="A201" s="165"/>
      <c r="B201" s="66">
        <v>2350</v>
      </c>
      <c r="C201" s="66" t="s">
        <v>8</v>
      </c>
      <c r="D201" s="66">
        <v>5</v>
      </c>
      <c r="E201" s="66">
        <v>0</v>
      </c>
      <c r="F201" s="73" t="s">
        <v>228</v>
      </c>
      <c r="G201" s="66"/>
      <c r="H201" s="22"/>
      <c r="I201" s="22"/>
      <c r="J201" s="22"/>
      <c r="K201" s="22"/>
      <c r="L201" s="22"/>
      <c r="M201" s="22"/>
      <c r="N201" s="22"/>
    </row>
    <row r="202" spans="1:14" ht="54" customHeight="1">
      <c r="A202" s="165"/>
      <c r="B202" s="66"/>
      <c r="C202" s="66"/>
      <c r="D202" s="66"/>
      <c r="E202" s="66"/>
      <c r="F202" s="73" t="s">
        <v>156</v>
      </c>
      <c r="G202" s="66"/>
      <c r="H202" s="22"/>
      <c r="I202" s="22"/>
      <c r="J202" s="22"/>
      <c r="K202" s="22"/>
      <c r="L202" s="22"/>
      <c r="M202" s="22"/>
      <c r="N202" s="22"/>
    </row>
    <row r="203" spans="1:14">
      <c r="A203" s="165"/>
      <c r="B203" s="66">
        <v>2351</v>
      </c>
      <c r="C203" s="66" t="s">
        <v>8</v>
      </c>
      <c r="D203" s="66">
        <v>5</v>
      </c>
      <c r="E203" s="66">
        <v>1</v>
      </c>
      <c r="F203" s="73" t="s">
        <v>229</v>
      </c>
      <c r="G203" s="66"/>
      <c r="H203" s="22"/>
      <c r="I203" s="22"/>
      <c r="J203" s="22"/>
      <c r="K203" s="22"/>
      <c r="L203" s="22"/>
      <c r="M203" s="22"/>
      <c r="N203" s="22"/>
    </row>
    <row r="204" spans="1:14" ht="40.5">
      <c r="A204" s="165"/>
      <c r="B204" s="66"/>
      <c r="C204" s="66"/>
      <c r="D204" s="66"/>
      <c r="E204" s="66"/>
      <c r="F204" s="73" t="s">
        <v>177</v>
      </c>
      <c r="G204" s="66"/>
      <c r="H204" s="22"/>
      <c r="I204" s="22"/>
      <c r="J204" s="22"/>
      <c r="K204" s="22"/>
      <c r="L204" s="22"/>
      <c r="M204" s="22"/>
      <c r="N204" s="22"/>
    </row>
    <row r="205" spans="1:14" ht="56.25" customHeight="1">
      <c r="A205" s="165"/>
      <c r="B205" s="66"/>
      <c r="C205" s="66"/>
      <c r="D205" s="66"/>
      <c r="E205" s="66"/>
      <c r="F205" s="73" t="s">
        <v>178</v>
      </c>
      <c r="G205" s="66"/>
      <c r="H205" s="22"/>
      <c r="I205" s="22"/>
      <c r="J205" s="22"/>
      <c r="K205" s="22"/>
      <c r="L205" s="22"/>
      <c r="M205" s="22"/>
      <c r="N205" s="22"/>
    </row>
    <row r="206" spans="1:14">
      <c r="A206" s="165"/>
      <c r="B206" s="66"/>
      <c r="C206" s="66"/>
      <c r="D206" s="66"/>
      <c r="E206" s="66"/>
      <c r="F206" s="73" t="s">
        <v>178</v>
      </c>
      <c r="G206" s="66"/>
      <c r="H206" s="22"/>
      <c r="I206" s="22"/>
      <c r="J206" s="22"/>
      <c r="K206" s="22"/>
      <c r="L206" s="22"/>
      <c r="M206" s="22"/>
      <c r="N206" s="22"/>
    </row>
    <row r="207" spans="1:14" ht="53.25" customHeight="1">
      <c r="A207" s="165"/>
      <c r="B207" s="66">
        <v>2360</v>
      </c>
      <c r="C207" s="66" t="s">
        <v>8</v>
      </c>
      <c r="D207" s="66">
        <v>6</v>
      </c>
      <c r="E207" s="66">
        <v>0</v>
      </c>
      <c r="F207" s="73" t="s">
        <v>230</v>
      </c>
      <c r="G207" s="66"/>
      <c r="H207" s="22"/>
      <c r="I207" s="22"/>
      <c r="J207" s="22"/>
      <c r="K207" s="22"/>
      <c r="L207" s="22"/>
      <c r="M207" s="22"/>
      <c r="N207" s="22"/>
    </row>
    <row r="208" spans="1:14" ht="51" customHeight="1">
      <c r="A208" s="165"/>
      <c r="B208" s="66"/>
      <c r="C208" s="66"/>
      <c r="D208" s="66"/>
      <c r="E208" s="66"/>
      <c r="F208" s="73" t="s">
        <v>156</v>
      </c>
      <c r="G208" s="66"/>
      <c r="H208" s="22"/>
      <c r="I208" s="22"/>
      <c r="J208" s="22"/>
      <c r="K208" s="22"/>
      <c r="L208" s="22"/>
      <c r="M208" s="22"/>
      <c r="N208" s="22"/>
    </row>
    <row r="209" spans="1:14" ht="40.5">
      <c r="A209" s="165"/>
      <c r="B209" s="66">
        <v>2361</v>
      </c>
      <c r="C209" s="66" t="s">
        <v>8</v>
      </c>
      <c r="D209" s="66">
        <v>6</v>
      </c>
      <c r="E209" s="66">
        <v>1</v>
      </c>
      <c r="F209" s="73" t="s">
        <v>230</v>
      </c>
      <c r="G209" s="66"/>
      <c r="H209" s="22"/>
      <c r="I209" s="22"/>
      <c r="J209" s="22"/>
      <c r="K209" s="22"/>
      <c r="L209" s="22"/>
      <c r="M209" s="22"/>
      <c r="N209" s="22"/>
    </row>
    <row r="210" spans="1:14" ht="40.5">
      <c r="A210" s="165"/>
      <c r="B210" s="66"/>
      <c r="C210" s="66"/>
      <c r="D210" s="66"/>
      <c r="E210" s="66"/>
      <c r="F210" s="73" t="s">
        <v>177</v>
      </c>
      <c r="G210" s="66"/>
      <c r="H210" s="22"/>
      <c r="I210" s="22"/>
      <c r="J210" s="22"/>
      <c r="K210" s="22"/>
      <c r="L210" s="22"/>
      <c r="M210" s="22"/>
      <c r="N210" s="22"/>
    </row>
    <row r="211" spans="1:14" ht="36" customHeight="1">
      <c r="A211" s="165"/>
      <c r="B211" s="66"/>
      <c r="C211" s="66"/>
      <c r="D211" s="66"/>
      <c r="E211" s="66"/>
      <c r="F211" s="73" t="s">
        <v>178</v>
      </c>
      <c r="G211" s="66"/>
      <c r="H211" s="22"/>
      <c r="I211" s="22"/>
      <c r="J211" s="22"/>
      <c r="K211" s="22"/>
      <c r="L211" s="22"/>
      <c r="M211" s="22"/>
      <c r="N211" s="22"/>
    </row>
    <row r="212" spans="1:14">
      <c r="A212" s="165"/>
      <c r="B212" s="66"/>
      <c r="C212" s="66"/>
      <c r="D212" s="66"/>
      <c r="E212" s="66"/>
      <c r="F212" s="73" t="s">
        <v>178</v>
      </c>
      <c r="G212" s="66"/>
      <c r="H212" s="22"/>
      <c r="I212" s="22"/>
      <c r="J212" s="22"/>
      <c r="K212" s="22"/>
      <c r="L212" s="22"/>
      <c r="M212" s="22"/>
      <c r="N212" s="22"/>
    </row>
    <row r="213" spans="1:14" ht="36.75" customHeight="1">
      <c r="A213" s="165"/>
      <c r="B213" s="66">
        <v>2370</v>
      </c>
      <c r="C213" s="66" t="s">
        <v>8</v>
      </c>
      <c r="D213" s="66">
        <v>7</v>
      </c>
      <c r="E213" s="66">
        <v>0</v>
      </c>
      <c r="F213" s="73" t="s">
        <v>232</v>
      </c>
      <c r="G213" s="66"/>
      <c r="H213" s="22"/>
      <c r="I213" s="22"/>
      <c r="J213" s="22"/>
      <c r="K213" s="22"/>
      <c r="L213" s="22"/>
      <c r="M213" s="22"/>
      <c r="N213" s="22"/>
    </row>
    <row r="214" spans="1:14" ht="52.5" customHeight="1">
      <c r="A214" s="165"/>
      <c r="B214" s="66"/>
      <c r="C214" s="66"/>
      <c r="D214" s="66"/>
      <c r="E214" s="66"/>
      <c r="F214" s="73" t="s">
        <v>156</v>
      </c>
      <c r="G214" s="66"/>
      <c r="H214" s="22"/>
      <c r="I214" s="22"/>
      <c r="J214" s="22"/>
      <c r="K214" s="22"/>
      <c r="L214" s="22"/>
      <c r="M214" s="22"/>
      <c r="N214" s="22"/>
    </row>
    <row r="215" spans="1:14" ht="27">
      <c r="A215" s="165"/>
      <c r="B215" s="66">
        <v>2371</v>
      </c>
      <c r="C215" s="66" t="s">
        <v>8</v>
      </c>
      <c r="D215" s="66">
        <v>7</v>
      </c>
      <c r="E215" s="66">
        <v>1</v>
      </c>
      <c r="F215" s="73" t="s">
        <v>232</v>
      </c>
      <c r="G215" s="66"/>
      <c r="H215" s="22"/>
      <c r="I215" s="22"/>
      <c r="J215" s="22"/>
      <c r="K215" s="22"/>
      <c r="L215" s="22"/>
      <c r="M215" s="22"/>
      <c r="N215" s="22"/>
    </row>
    <row r="216" spans="1:14" ht="40.5">
      <c r="A216" s="165"/>
      <c r="B216" s="66"/>
      <c r="C216" s="66"/>
      <c r="D216" s="66"/>
      <c r="E216" s="66"/>
      <c r="F216" s="73" t="s">
        <v>177</v>
      </c>
      <c r="G216" s="66"/>
      <c r="H216" s="22"/>
      <c r="I216" s="22"/>
      <c r="J216" s="22"/>
      <c r="K216" s="22"/>
      <c r="L216" s="22"/>
      <c r="M216" s="22"/>
      <c r="N216" s="22"/>
    </row>
    <row r="217" spans="1:14">
      <c r="A217" s="165"/>
      <c r="B217" s="66"/>
      <c r="C217" s="66"/>
      <c r="D217" s="66"/>
      <c r="E217" s="66"/>
      <c r="F217" s="73" t="s">
        <v>178</v>
      </c>
      <c r="G217" s="66"/>
      <c r="H217" s="22"/>
      <c r="I217" s="22"/>
      <c r="J217" s="22"/>
      <c r="K217" s="22"/>
      <c r="L217" s="22"/>
      <c r="M217" s="22"/>
      <c r="N217" s="22"/>
    </row>
    <row r="218" spans="1:14">
      <c r="A218" s="165"/>
      <c r="B218" s="66"/>
      <c r="C218" s="66"/>
      <c r="D218" s="66"/>
      <c r="E218" s="66"/>
      <c r="F218" s="73" t="s">
        <v>178</v>
      </c>
      <c r="G218" s="66"/>
      <c r="H218" s="22"/>
      <c r="I218" s="22"/>
      <c r="J218" s="22"/>
      <c r="K218" s="22"/>
      <c r="L218" s="22"/>
      <c r="M218" s="22"/>
      <c r="N218" s="22"/>
    </row>
    <row r="219" spans="1:14" ht="40.5">
      <c r="A219" s="165"/>
      <c r="B219" s="66">
        <v>2400</v>
      </c>
      <c r="C219" s="66" t="s">
        <v>9</v>
      </c>
      <c r="D219" s="66">
        <v>0</v>
      </c>
      <c r="E219" s="66">
        <v>0</v>
      </c>
      <c r="F219" s="73" t="s">
        <v>233</v>
      </c>
      <c r="G219" s="66"/>
      <c r="H219" s="22">
        <f t="shared" ref="H219:N219" si="38">H221+H231+H251+H265+H279+H306+H312+H330+H348</f>
        <v>2747651.5290000001</v>
      </c>
      <c r="I219" s="22">
        <f t="shared" si="38"/>
        <v>434477.2</v>
      </c>
      <c r="J219" s="22">
        <f t="shared" si="38"/>
        <v>2313174.3289999999</v>
      </c>
      <c r="K219" s="22">
        <f t="shared" si="38"/>
        <v>2270897.4398476197</v>
      </c>
      <c r="L219" s="22">
        <f t="shared" si="38"/>
        <v>2361096.7866460318</v>
      </c>
      <c r="M219" s="22">
        <f t="shared" si="38"/>
        <v>2570621.8968190155</v>
      </c>
      <c r="N219" s="22">
        <f t="shared" si="38"/>
        <v>2747651.5290000001</v>
      </c>
    </row>
    <row r="220" spans="1:14">
      <c r="A220" s="165"/>
      <c r="B220" s="66"/>
      <c r="C220" s="66"/>
      <c r="D220" s="66"/>
      <c r="E220" s="66"/>
      <c r="F220" s="73" t="s">
        <v>154</v>
      </c>
      <c r="G220" s="66"/>
      <c r="H220" s="22"/>
      <c r="I220" s="22"/>
      <c r="J220" s="22"/>
      <c r="K220" s="22"/>
      <c r="L220" s="22"/>
      <c r="M220" s="22"/>
      <c r="N220" s="22"/>
    </row>
    <row r="221" spans="1:14" ht="34.5" customHeight="1">
      <c r="A221" s="165"/>
      <c r="B221" s="66">
        <v>2410</v>
      </c>
      <c r="C221" s="66" t="s">
        <v>9</v>
      </c>
      <c r="D221" s="66">
        <v>1</v>
      </c>
      <c r="E221" s="66">
        <v>0</v>
      </c>
      <c r="F221" s="73" t="s">
        <v>234</v>
      </c>
      <c r="G221" s="66"/>
      <c r="H221" s="22"/>
      <c r="I221" s="22"/>
      <c r="J221" s="22"/>
      <c r="K221" s="22"/>
      <c r="L221" s="22"/>
      <c r="M221" s="22"/>
      <c r="N221" s="22"/>
    </row>
    <row r="222" spans="1:14" ht="52.5" customHeight="1">
      <c r="A222" s="165"/>
      <c r="B222" s="66"/>
      <c r="C222" s="66"/>
      <c r="D222" s="66"/>
      <c r="E222" s="66"/>
      <c r="F222" s="73" t="s">
        <v>156</v>
      </c>
      <c r="G222" s="66"/>
      <c r="H222" s="22"/>
      <c r="I222" s="22"/>
      <c r="J222" s="22"/>
      <c r="K222" s="22"/>
      <c r="L222" s="22"/>
      <c r="M222" s="22"/>
      <c r="N222" s="22"/>
    </row>
    <row r="223" spans="1:14" ht="27">
      <c r="A223" s="165"/>
      <c r="B223" s="66">
        <v>2411</v>
      </c>
      <c r="C223" s="66" t="s">
        <v>9</v>
      </c>
      <c r="D223" s="66">
        <v>1</v>
      </c>
      <c r="E223" s="66">
        <v>1</v>
      </c>
      <c r="F223" s="73" t="s">
        <v>235</v>
      </c>
      <c r="G223" s="66"/>
      <c r="H223" s="22"/>
      <c r="I223" s="22"/>
      <c r="J223" s="22"/>
      <c r="K223" s="22"/>
      <c r="L223" s="22"/>
      <c r="M223" s="22"/>
      <c r="N223" s="22"/>
    </row>
    <row r="224" spans="1:14" ht="40.5">
      <c r="A224" s="165"/>
      <c r="B224" s="66"/>
      <c r="C224" s="66"/>
      <c r="D224" s="66"/>
      <c r="E224" s="66"/>
      <c r="F224" s="73" t="s">
        <v>177</v>
      </c>
      <c r="G224" s="66"/>
      <c r="H224" s="22"/>
      <c r="I224" s="22"/>
      <c r="J224" s="22"/>
      <c r="K224" s="22"/>
      <c r="L224" s="22"/>
      <c r="M224" s="22"/>
      <c r="N224" s="22"/>
    </row>
    <row r="225" spans="1:14" ht="38.25" customHeight="1">
      <c r="A225" s="165"/>
      <c r="B225" s="66"/>
      <c r="C225" s="66"/>
      <c r="D225" s="66"/>
      <c r="E225" s="66"/>
      <c r="F225" s="73" t="s">
        <v>178</v>
      </c>
      <c r="G225" s="66"/>
      <c r="H225" s="22"/>
      <c r="I225" s="22"/>
      <c r="J225" s="22"/>
      <c r="K225" s="22"/>
      <c r="L225" s="22"/>
      <c r="M225" s="22"/>
      <c r="N225" s="22"/>
    </row>
    <row r="226" spans="1:14" ht="54" customHeight="1">
      <c r="A226" s="165"/>
      <c r="B226" s="66"/>
      <c r="C226" s="66"/>
      <c r="D226" s="66"/>
      <c r="E226" s="66"/>
      <c r="F226" s="73" t="s">
        <v>178</v>
      </c>
      <c r="G226" s="66"/>
      <c r="H226" s="22"/>
      <c r="I226" s="22"/>
      <c r="J226" s="22"/>
      <c r="K226" s="22"/>
      <c r="L226" s="22"/>
      <c r="M226" s="22"/>
      <c r="N226" s="22"/>
    </row>
    <row r="227" spans="1:14" ht="27">
      <c r="A227" s="165"/>
      <c r="B227" s="66">
        <v>2412</v>
      </c>
      <c r="C227" s="66" t="s">
        <v>9</v>
      </c>
      <c r="D227" s="66">
        <v>1</v>
      </c>
      <c r="E227" s="66">
        <v>2</v>
      </c>
      <c r="F227" s="73" t="s">
        <v>236</v>
      </c>
      <c r="G227" s="66"/>
      <c r="H227" s="22"/>
      <c r="I227" s="22"/>
      <c r="J227" s="22"/>
      <c r="K227" s="22"/>
      <c r="L227" s="22"/>
      <c r="M227" s="22"/>
      <c r="N227" s="22"/>
    </row>
    <row r="228" spans="1:14" ht="40.5">
      <c r="A228" s="165"/>
      <c r="B228" s="66"/>
      <c r="C228" s="66"/>
      <c r="D228" s="66"/>
      <c r="E228" s="66"/>
      <c r="F228" s="73" t="s">
        <v>177</v>
      </c>
      <c r="G228" s="66"/>
      <c r="H228" s="22"/>
      <c r="I228" s="22"/>
      <c r="J228" s="22"/>
      <c r="K228" s="22"/>
      <c r="L228" s="22"/>
      <c r="M228" s="22"/>
      <c r="N228" s="22"/>
    </row>
    <row r="229" spans="1:14" ht="38.25" customHeight="1">
      <c r="A229" s="165"/>
      <c r="B229" s="66"/>
      <c r="C229" s="66"/>
      <c r="D229" s="66"/>
      <c r="E229" s="66"/>
      <c r="F229" s="73" t="s">
        <v>178</v>
      </c>
      <c r="G229" s="66"/>
      <c r="H229" s="22"/>
      <c r="I229" s="22"/>
      <c r="J229" s="22"/>
      <c r="K229" s="22"/>
      <c r="L229" s="22"/>
      <c r="M229" s="22"/>
      <c r="N229" s="22"/>
    </row>
    <row r="230" spans="1:14">
      <c r="A230" s="165"/>
      <c r="B230" s="66"/>
      <c r="C230" s="66"/>
      <c r="D230" s="66"/>
      <c r="E230" s="66"/>
      <c r="F230" s="73" t="s">
        <v>178</v>
      </c>
      <c r="G230" s="66"/>
      <c r="H230" s="22"/>
      <c r="I230" s="22"/>
      <c r="J230" s="22"/>
      <c r="K230" s="22"/>
      <c r="L230" s="22"/>
      <c r="M230" s="22"/>
      <c r="N230" s="22"/>
    </row>
    <row r="231" spans="1:14" ht="19.5" customHeight="1">
      <c r="A231" s="165"/>
      <c r="B231" s="66">
        <v>2420</v>
      </c>
      <c r="C231" s="66" t="s">
        <v>9</v>
      </c>
      <c r="D231" s="66">
        <v>2</v>
      </c>
      <c r="E231" s="66">
        <v>0</v>
      </c>
      <c r="F231" s="73" t="s">
        <v>237</v>
      </c>
      <c r="G231" s="66"/>
      <c r="H231" s="22"/>
      <c r="I231" s="22"/>
      <c r="J231" s="22"/>
      <c r="K231" s="22"/>
      <c r="L231" s="22"/>
      <c r="M231" s="22"/>
      <c r="N231" s="22"/>
    </row>
    <row r="232" spans="1:14" ht="51" customHeight="1">
      <c r="A232" s="165"/>
      <c r="B232" s="66"/>
      <c r="C232" s="66"/>
      <c r="D232" s="66"/>
      <c r="E232" s="66"/>
      <c r="F232" s="73" t="s">
        <v>156</v>
      </c>
      <c r="G232" s="66"/>
      <c r="H232" s="22"/>
      <c r="I232" s="22"/>
      <c r="J232" s="22"/>
      <c r="K232" s="22"/>
      <c r="L232" s="22"/>
      <c r="M232" s="22"/>
      <c r="N232" s="22"/>
    </row>
    <row r="233" spans="1:14">
      <c r="A233" s="165"/>
      <c r="B233" s="66">
        <v>2421</v>
      </c>
      <c r="C233" s="66" t="s">
        <v>9</v>
      </c>
      <c r="D233" s="66">
        <v>2</v>
      </c>
      <c r="E233" s="66">
        <v>1</v>
      </c>
      <c r="F233" s="73" t="s">
        <v>238</v>
      </c>
      <c r="G233" s="66"/>
      <c r="H233" s="22"/>
      <c r="I233" s="22"/>
      <c r="J233" s="22"/>
      <c r="K233" s="22"/>
      <c r="L233" s="22"/>
      <c r="M233" s="22"/>
      <c r="N233" s="22"/>
    </row>
    <row r="234" spans="1:14" ht="40.5">
      <c r="A234" s="165"/>
      <c r="B234" s="66"/>
      <c r="C234" s="66"/>
      <c r="D234" s="66"/>
      <c r="E234" s="66"/>
      <c r="F234" s="73" t="s">
        <v>177</v>
      </c>
      <c r="G234" s="66"/>
      <c r="H234" s="22"/>
      <c r="I234" s="22"/>
      <c r="J234" s="22"/>
      <c r="K234" s="22"/>
      <c r="L234" s="22"/>
      <c r="M234" s="22"/>
      <c r="N234" s="22"/>
    </row>
    <row r="235" spans="1:14">
      <c r="A235" s="165"/>
      <c r="B235" s="66"/>
      <c r="C235" s="66"/>
      <c r="D235" s="66"/>
      <c r="E235" s="66"/>
      <c r="F235" s="73"/>
      <c r="G235" s="66"/>
      <c r="H235" s="22"/>
      <c r="I235" s="22"/>
      <c r="J235" s="22"/>
      <c r="K235" s="22"/>
      <c r="L235" s="22"/>
      <c r="M235" s="22"/>
      <c r="N235" s="22"/>
    </row>
    <row r="236" spans="1:14">
      <c r="A236" s="165"/>
      <c r="B236" s="66"/>
      <c r="C236" s="66"/>
      <c r="D236" s="66"/>
      <c r="E236" s="66"/>
      <c r="F236" s="73"/>
      <c r="G236" s="66"/>
      <c r="H236" s="22"/>
      <c r="I236" s="22"/>
      <c r="J236" s="22"/>
      <c r="K236" s="22"/>
      <c r="L236" s="22"/>
      <c r="M236" s="22"/>
      <c r="N236" s="22"/>
    </row>
    <row r="237" spans="1:14">
      <c r="A237" s="165"/>
      <c r="B237" s="66"/>
      <c r="C237" s="66"/>
      <c r="D237" s="66"/>
      <c r="E237" s="66"/>
      <c r="F237" s="73" t="s">
        <v>178</v>
      </c>
      <c r="G237" s="66"/>
      <c r="H237" s="22"/>
      <c r="I237" s="22"/>
      <c r="J237" s="22"/>
      <c r="K237" s="22"/>
      <c r="L237" s="22"/>
      <c r="M237" s="22"/>
      <c r="N237" s="22"/>
    </row>
    <row r="238" spans="1:14" ht="52.5" customHeight="1">
      <c r="A238" s="165"/>
      <c r="B238" s="66"/>
      <c r="C238" s="66"/>
      <c r="D238" s="66"/>
      <c r="E238" s="66"/>
      <c r="F238" s="73" t="s">
        <v>178</v>
      </c>
      <c r="G238" s="66"/>
      <c r="H238" s="22"/>
      <c r="I238" s="22"/>
      <c r="J238" s="22"/>
      <c r="K238" s="22"/>
      <c r="L238" s="22"/>
      <c r="M238" s="22"/>
      <c r="N238" s="22"/>
    </row>
    <row r="239" spans="1:14">
      <c r="A239" s="165"/>
      <c r="B239" s="66">
        <v>2422</v>
      </c>
      <c r="C239" s="66" t="s">
        <v>9</v>
      </c>
      <c r="D239" s="66">
        <v>2</v>
      </c>
      <c r="E239" s="66">
        <v>2</v>
      </c>
      <c r="F239" s="73" t="s">
        <v>239</v>
      </c>
      <c r="G239" s="66"/>
      <c r="H239" s="22"/>
      <c r="I239" s="22"/>
      <c r="J239" s="22"/>
      <c r="K239" s="22"/>
      <c r="L239" s="22"/>
      <c r="M239" s="22"/>
      <c r="N239" s="22"/>
    </row>
    <row r="240" spans="1:14" ht="40.5">
      <c r="A240" s="165"/>
      <c r="B240" s="66"/>
      <c r="C240" s="66"/>
      <c r="D240" s="66"/>
      <c r="E240" s="66"/>
      <c r="F240" s="73" t="s">
        <v>177</v>
      </c>
      <c r="G240" s="66"/>
      <c r="H240" s="22"/>
      <c r="I240" s="22"/>
      <c r="J240" s="22"/>
      <c r="K240" s="22"/>
      <c r="L240" s="22"/>
      <c r="M240" s="22"/>
      <c r="N240" s="22"/>
    </row>
    <row r="241" spans="1:14" ht="18.75" customHeight="1">
      <c r="A241" s="165"/>
      <c r="B241" s="66"/>
      <c r="C241" s="66"/>
      <c r="D241" s="66"/>
      <c r="E241" s="66"/>
      <c r="F241" s="73" t="s">
        <v>178</v>
      </c>
      <c r="G241" s="66"/>
      <c r="H241" s="22"/>
      <c r="I241" s="22"/>
      <c r="J241" s="22"/>
      <c r="K241" s="22"/>
      <c r="L241" s="22"/>
      <c r="M241" s="22"/>
      <c r="N241" s="22"/>
    </row>
    <row r="242" spans="1:14" ht="49.5" customHeight="1">
      <c r="A242" s="165"/>
      <c r="B242" s="66"/>
      <c r="C242" s="66"/>
      <c r="D242" s="66"/>
      <c r="E242" s="66"/>
      <c r="F242" s="73" t="s">
        <v>178</v>
      </c>
      <c r="G242" s="66"/>
      <c r="H242" s="22"/>
      <c r="I242" s="22"/>
      <c r="J242" s="22"/>
      <c r="K242" s="22"/>
      <c r="L242" s="22"/>
      <c r="M242" s="22"/>
      <c r="N242" s="22"/>
    </row>
    <row r="243" spans="1:14">
      <c r="A243" s="165"/>
      <c r="B243" s="66">
        <v>2423</v>
      </c>
      <c r="C243" s="66" t="s">
        <v>9</v>
      </c>
      <c r="D243" s="66">
        <v>2</v>
      </c>
      <c r="E243" s="66">
        <v>3</v>
      </c>
      <c r="F243" s="73" t="s">
        <v>240</v>
      </c>
      <c r="G243" s="66"/>
      <c r="H243" s="22"/>
      <c r="I243" s="22"/>
      <c r="J243" s="22"/>
      <c r="K243" s="22"/>
      <c r="L243" s="22"/>
      <c r="M243" s="22"/>
      <c r="N243" s="22"/>
    </row>
    <row r="244" spans="1:14" ht="40.5">
      <c r="A244" s="165"/>
      <c r="B244" s="66"/>
      <c r="C244" s="66"/>
      <c r="D244" s="66"/>
      <c r="E244" s="66"/>
      <c r="F244" s="73" t="s">
        <v>177</v>
      </c>
      <c r="G244" s="66"/>
      <c r="H244" s="22"/>
      <c r="I244" s="22"/>
      <c r="J244" s="22"/>
      <c r="K244" s="22"/>
      <c r="L244" s="22"/>
      <c r="M244" s="22"/>
      <c r="N244" s="22"/>
    </row>
    <row r="245" spans="1:14">
      <c r="A245" s="165"/>
      <c r="B245" s="66"/>
      <c r="C245" s="66"/>
      <c r="D245" s="66"/>
      <c r="E245" s="66"/>
      <c r="F245" s="73" t="s">
        <v>178</v>
      </c>
      <c r="G245" s="66"/>
      <c r="H245" s="22"/>
      <c r="I245" s="22"/>
      <c r="J245" s="22"/>
      <c r="K245" s="22"/>
      <c r="L245" s="22"/>
      <c r="M245" s="22"/>
      <c r="N245" s="22"/>
    </row>
    <row r="246" spans="1:14" ht="57" customHeight="1">
      <c r="A246" s="165"/>
      <c r="B246" s="66"/>
      <c r="C246" s="66"/>
      <c r="D246" s="66"/>
      <c r="E246" s="66"/>
      <c r="F246" s="73" t="s">
        <v>178</v>
      </c>
      <c r="G246" s="66"/>
      <c r="H246" s="22"/>
      <c r="I246" s="22"/>
      <c r="J246" s="22"/>
      <c r="K246" s="22"/>
      <c r="L246" s="22"/>
      <c r="M246" s="22"/>
      <c r="N246" s="22"/>
    </row>
    <row r="247" spans="1:14">
      <c r="A247" s="165"/>
      <c r="B247" s="66">
        <v>2424</v>
      </c>
      <c r="C247" s="66" t="s">
        <v>9</v>
      </c>
      <c r="D247" s="66">
        <v>2</v>
      </c>
      <c r="E247" s="66">
        <v>4</v>
      </c>
      <c r="F247" s="73" t="s">
        <v>241</v>
      </c>
      <c r="G247" s="66"/>
      <c r="H247" s="22"/>
      <c r="I247" s="22"/>
      <c r="J247" s="22"/>
      <c r="K247" s="22"/>
      <c r="L247" s="22"/>
      <c r="M247" s="22"/>
      <c r="N247" s="22"/>
    </row>
    <row r="248" spans="1:14" ht="40.5">
      <c r="A248" s="165"/>
      <c r="B248" s="66"/>
      <c r="C248" s="66"/>
      <c r="D248" s="66"/>
      <c r="E248" s="66"/>
      <c r="F248" s="73" t="s">
        <v>177</v>
      </c>
      <c r="G248" s="66"/>
      <c r="H248" s="22"/>
      <c r="I248" s="22"/>
      <c r="J248" s="22"/>
      <c r="K248" s="22"/>
      <c r="L248" s="22"/>
      <c r="M248" s="22"/>
      <c r="N248" s="22"/>
    </row>
    <row r="249" spans="1:14">
      <c r="A249" s="165"/>
      <c r="B249" s="66"/>
      <c r="C249" s="66"/>
      <c r="D249" s="66"/>
      <c r="E249" s="66"/>
      <c r="F249" s="73" t="s">
        <v>178</v>
      </c>
      <c r="G249" s="66"/>
      <c r="H249" s="22"/>
      <c r="I249" s="22"/>
      <c r="J249" s="22"/>
      <c r="K249" s="22"/>
      <c r="L249" s="22"/>
      <c r="M249" s="22"/>
      <c r="N249" s="22"/>
    </row>
    <row r="250" spans="1:14">
      <c r="A250" s="165"/>
      <c r="B250" s="66"/>
      <c r="C250" s="66"/>
      <c r="D250" s="66"/>
      <c r="E250" s="66"/>
      <c r="F250" s="73" t="s">
        <v>178</v>
      </c>
      <c r="G250" s="66"/>
      <c r="H250" s="22"/>
      <c r="I250" s="22"/>
      <c r="J250" s="22"/>
      <c r="K250" s="22"/>
      <c r="L250" s="22"/>
      <c r="M250" s="22"/>
      <c r="N250" s="22"/>
    </row>
    <row r="251" spans="1:14">
      <c r="A251" s="165"/>
      <c r="B251" s="66">
        <v>2430</v>
      </c>
      <c r="C251" s="66" t="s">
        <v>9</v>
      </c>
      <c r="D251" s="66">
        <v>3</v>
      </c>
      <c r="E251" s="66">
        <v>0</v>
      </c>
      <c r="F251" s="73" t="s">
        <v>242</v>
      </c>
      <c r="G251" s="66"/>
      <c r="H251" s="22"/>
      <c r="I251" s="22"/>
      <c r="J251" s="22"/>
      <c r="K251" s="22"/>
      <c r="L251" s="22"/>
      <c r="M251" s="22"/>
      <c r="N251" s="22"/>
    </row>
    <row r="252" spans="1:14" ht="48" customHeight="1">
      <c r="A252" s="165"/>
      <c r="B252" s="66"/>
      <c r="C252" s="66"/>
      <c r="D252" s="66"/>
      <c r="E252" s="66"/>
      <c r="F252" s="73" t="s">
        <v>156</v>
      </c>
      <c r="G252" s="66"/>
      <c r="H252" s="22"/>
      <c r="I252" s="22"/>
      <c r="J252" s="22"/>
      <c r="K252" s="22"/>
      <c r="L252" s="22"/>
      <c r="M252" s="22"/>
      <c r="N252" s="22"/>
    </row>
    <row r="253" spans="1:14">
      <c r="A253" s="165"/>
      <c r="B253" s="66">
        <v>2431</v>
      </c>
      <c r="C253" s="66" t="s">
        <v>9</v>
      </c>
      <c r="D253" s="66">
        <v>3</v>
      </c>
      <c r="E253" s="66">
        <v>1</v>
      </c>
      <c r="F253" s="73" t="s">
        <v>243</v>
      </c>
      <c r="G253" s="66"/>
      <c r="H253" s="22"/>
      <c r="I253" s="22"/>
      <c r="J253" s="22"/>
      <c r="K253" s="22"/>
      <c r="L253" s="22"/>
      <c r="M253" s="22"/>
      <c r="N253" s="22"/>
    </row>
    <row r="254" spans="1:14" ht="40.5">
      <c r="A254" s="165"/>
      <c r="B254" s="66"/>
      <c r="C254" s="66"/>
      <c r="D254" s="66"/>
      <c r="E254" s="66"/>
      <c r="F254" s="73" t="s">
        <v>177</v>
      </c>
      <c r="G254" s="66"/>
      <c r="H254" s="22"/>
      <c r="I254" s="22"/>
      <c r="J254" s="22"/>
      <c r="K254" s="22"/>
      <c r="L254" s="22"/>
      <c r="M254" s="22"/>
      <c r="N254" s="22"/>
    </row>
    <row r="255" spans="1:14">
      <c r="A255" s="165"/>
      <c r="B255" s="66"/>
      <c r="C255" s="66"/>
      <c r="D255" s="66"/>
      <c r="E255" s="66"/>
      <c r="F255" s="73" t="s">
        <v>178</v>
      </c>
      <c r="G255" s="66"/>
      <c r="H255" s="22"/>
      <c r="I255" s="22"/>
      <c r="J255" s="22"/>
      <c r="K255" s="22"/>
      <c r="L255" s="22"/>
      <c r="M255" s="22"/>
      <c r="N255" s="22"/>
    </row>
    <row r="256" spans="1:14" ht="54.75" customHeight="1">
      <c r="A256" s="165"/>
      <c r="B256" s="66"/>
      <c r="C256" s="66"/>
      <c r="D256" s="66"/>
      <c r="E256" s="66"/>
      <c r="F256" s="73" t="s">
        <v>178</v>
      </c>
      <c r="G256" s="66"/>
      <c r="H256" s="22"/>
      <c r="I256" s="22"/>
      <c r="J256" s="22"/>
      <c r="K256" s="22"/>
      <c r="L256" s="22"/>
      <c r="M256" s="22"/>
      <c r="N256" s="22"/>
    </row>
    <row r="257" spans="1:14">
      <c r="A257" s="165"/>
      <c r="B257" s="66">
        <v>2432</v>
      </c>
      <c r="C257" s="66" t="s">
        <v>9</v>
      </c>
      <c r="D257" s="66">
        <v>3</v>
      </c>
      <c r="E257" s="66">
        <v>2</v>
      </c>
      <c r="F257" s="73" t="s">
        <v>244</v>
      </c>
      <c r="G257" s="66"/>
      <c r="H257" s="22"/>
      <c r="I257" s="22"/>
      <c r="J257" s="22"/>
      <c r="K257" s="22"/>
      <c r="L257" s="22"/>
      <c r="M257" s="22"/>
      <c r="N257" s="22"/>
    </row>
    <row r="258" spans="1:14" ht="40.5">
      <c r="A258" s="165"/>
      <c r="B258" s="66"/>
      <c r="C258" s="66"/>
      <c r="D258" s="66"/>
      <c r="E258" s="66"/>
      <c r="F258" s="73" t="s">
        <v>177</v>
      </c>
      <c r="G258" s="66"/>
      <c r="H258" s="22"/>
      <c r="I258" s="22"/>
      <c r="J258" s="22"/>
      <c r="K258" s="22"/>
      <c r="L258" s="22"/>
      <c r="M258" s="22"/>
      <c r="N258" s="22"/>
    </row>
    <row r="259" spans="1:14">
      <c r="A259" s="165"/>
      <c r="B259" s="66"/>
      <c r="C259" s="66"/>
      <c r="D259" s="66"/>
      <c r="E259" s="66"/>
      <c r="F259" s="73" t="s">
        <v>178</v>
      </c>
      <c r="G259" s="66"/>
      <c r="H259" s="22"/>
      <c r="I259" s="22"/>
      <c r="J259" s="22"/>
      <c r="K259" s="22"/>
      <c r="L259" s="22"/>
      <c r="M259" s="22"/>
      <c r="N259" s="22"/>
    </row>
    <row r="260" spans="1:14" ht="54" customHeight="1">
      <c r="A260" s="165"/>
      <c r="B260" s="66"/>
      <c r="C260" s="66"/>
      <c r="D260" s="66"/>
      <c r="E260" s="66"/>
      <c r="F260" s="73" t="s">
        <v>178</v>
      </c>
      <c r="G260" s="66"/>
      <c r="H260" s="22"/>
      <c r="I260" s="22"/>
      <c r="J260" s="22"/>
      <c r="K260" s="22"/>
      <c r="L260" s="22"/>
      <c r="M260" s="22"/>
      <c r="N260" s="22"/>
    </row>
    <row r="261" spans="1:14">
      <c r="A261" s="165"/>
      <c r="B261" s="66">
        <v>2433</v>
      </c>
      <c r="C261" s="66" t="s">
        <v>9</v>
      </c>
      <c r="D261" s="66">
        <v>3</v>
      </c>
      <c r="E261" s="66">
        <v>3</v>
      </c>
      <c r="F261" s="73" t="s">
        <v>245</v>
      </c>
      <c r="G261" s="66"/>
      <c r="H261" s="22"/>
      <c r="I261" s="22"/>
      <c r="J261" s="22"/>
      <c r="K261" s="22"/>
      <c r="L261" s="22"/>
      <c r="M261" s="22"/>
      <c r="N261" s="22"/>
    </row>
    <row r="262" spans="1:14" ht="40.5">
      <c r="A262" s="165"/>
      <c r="B262" s="66"/>
      <c r="C262" s="66"/>
      <c r="D262" s="66"/>
      <c r="E262" s="66"/>
      <c r="F262" s="73" t="s">
        <v>177</v>
      </c>
      <c r="G262" s="66"/>
      <c r="H262" s="22"/>
      <c r="I262" s="22"/>
      <c r="J262" s="22"/>
      <c r="K262" s="22"/>
      <c r="L262" s="22"/>
      <c r="M262" s="22"/>
      <c r="N262" s="22"/>
    </row>
    <row r="263" spans="1:14" ht="36" customHeight="1">
      <c r="A263" s="165"/>
      <c r="B263" s="66"/>
      <c r="C263" s="66"/>
      <c r="D263" s="66"/>
      <c r="E263" s="66"/>
      <c r="F263" s="73" t="s">
        <v>178</v>
      </c>
      <c r="G263" s="66"/>
      <c r="H263" s="22"/>
      <c r="I263" s="22"/>
      <c r="J263" s="22"/>
      <c r="K263" s="22"/>
      <c r="L263" s="22"/>
      <c r="M263" s="22"/>
      <c r="N263" s="22"/>
    </row>
    <row r="264" spans="1:14">
      <c r="A264" s="165"/>
      <c r="B264" s="66"/>
      <c r="C264" s="66"/>
      <c r="D264" s="66"/>
      <c r="E264" s="66"/>
      <c r="F264" s="73" t="s">
        <v>178</v>
      </c>
      <c r="G264" s="66"/>
      <c r="H264" s="22"/>
      <c r="I264" s="22"/>
      <c r="J264" s="22"/>
      <c r="K264" s="22"/>
      <c r="L264" s="22"/>
      <c r="M264" s="22"/>
      <c r="N264" s="22"/>
    </row>
    <row r="265" spans="1:14" ht="36.75" customHeight="1">
      <c r="A265" s="165"/>
      <c r="B265" s="66">
        <v>2440</v>
      </c>
      <c r="C265" s="66" t="s">
        <v>9</v>
      </c>
      <c r="D265" s="66">
        <v>4</v>
      </c>
      <c r="E265" s="66">
        <v>0</v>
      </c>
      <c r="F265" s="73" t="s">
        <v>249</v>
      </c>
      <c r="G265" s="66"/>
      <c r="H265" s="22"/>
      <c r="I265" s="22"/>
      <c r="J265" s="22"/>
      <c r="K265" s="22"/>
      <c r="L265" s="22"/>
      <c r="M265" s="22"/>
      <c r="N265" s="22"/>
    </row>
    <row r="266" spans="1:14" ht="51.75" customHeight="1">
      <c r="A266" s="165"/>
      <c r="B266" s="66"/>
      <c r="C266" s="66"/>
      <c r="D266" s="66"/>
      <c r="E266" s="66"/>
      <c r="F266" s="73" t="s">
        <v>156</v>
      </c>
      <c r="G266" s="66"/>
      <c r="H266" s="22"/>
      <c r="I266" s="22"/>
      <c r="J266" s="22"/>
      <c r="K266" s="22"/>
      <c r="L266" s="22"/>
      <c r="M266" s="22"/>
      <c r="N266" s="22"/>
    </row>
    <row r="267" spans="1:14" ht="27">
      <c r="A267" s="165"/>
      <c r="B267" s="66">
        <v>2441</v>
      </c>
      <c r="C267" s="66" t="s">
        <v>9</v>
      </c>
      <c r="D267" s="66">
        <v>4</v>
      </c>
      <c r="E267" s="66">
        <v>1</v>
      </c>
      <c r="F267" s="73" t="s">
        <v>250</v>
      </c>
      <c r="G267" s="66"/>
      <c r="H267" s="22"/>
      <c r="I267" s="22"/>
      <c r="J267" s="22"/>
      <c r="K267" s="22"/>
      <c r="L267" s="22"/>
      <c r="M267" s="22"/>
      <c r="N267" s="22"/>
    </row>
    <row r="268" spans="1:14" ht="40.5">
      <c r="A268" s="165"/>
      <c r="B268" s="66"/>
      <c r="C268" s="66"/>
      <c r="D268" s="66"/>
      <c r="E268" s="66"/>
      <c r="F268" s="73" t="s">
        <v>177</v>
      </c>
      <c r="G268" s="66"/>
      <c r="H268" s="22"/>
      <c r="I268" s="22"/>
      <c r="J268" s="22"/>
      <c r="K268" s="22"/>
      <c r="L268" s="22"/>
      <c r="M268" s="22"/>
      <c r="N268" s="22"/>
    </row>
    <row r="269" spans="1:14">
      <c r="A269" s="165"/>
      <c r="B269" s="66"/>
      <c r="C269" s="66"/>
      <c r="D269" s="66"/>
      <c r="E269" s="66"/>
      <c r="F269" s="73" t="s">
        <v>178</v>
      </c>
      <c r="G269" s="66"/>
      <c r="H269" s="22"/>
      <c r="I269" s="22"/>
      <c r="J269" s="22"/>
      <c r="K269" s="22"/>
      <c r="L269" s="22"/>
      <c r="M269" s="22"/>
      <c r="N269" s="22"/>
    </row>
    <row r="270" spans="1:14" ht="54" customHeight="1">
      <c r="A270" s="165"/>
      <c r="B270" s="66"/>
      <c r="C270" s="66"/>
      <c r="D270" s="66"/>
      <c r="E270" s="66"/>
      <c r="F270" s="73" t="s">
        <v>178</v>
      </c>
      <c r="G270" s="66"/>
      <c r="H270" s="22"/>
      <c r="I270" s="22"/>
      <c r="J270" s="22"/>
      <c r="K270" s="22"/>
      <c r="L270" s="22"/>
      <c r="M270" s="22"/>
      <c r="N270" s="22"/>
    </row>
    <row r="271" spans="1:14">
      <c r="A271" s="165"/>
      <c r="B271" s="66">
        <v>2442</v>
      </c>
      <c r="C271" s="66" t="s">
        <v>9</v>
      </c>
      <c r="D271" s="66">
        <v>4</v>
      </c>
      <c r="E271" s="66">
        <v>2</v>
      </c>
      <c r="F271" s="73" t="s">
        <v>251</v>
      </c>
      <c r="G271" s="66"/>
      <c r="H271" s="22"/>
      <c r="I271" s="22"/>
      <c r="J271" s="22"/>
      <c r="K271" s="22"/>
      <c r="L271" s="22"/>
      <c r="M271" s="22"/>
      <c r="N271" s="22"/>
    </row>
    <row r="272" spans="1:14" ht="40.5">
      <c r="A272" s="165"/>
      <c r="B272" s="66"/>
      <c r="C272" s="66"/>
      <c r="D272" s="66"/>
      <c r="E272" s="66"/>
      <c r="F272" s="73" t="s">
        <v>177</v>
      </c>
      <c r="G272" s="66"/>
      <c r="H272" s="22"/>
      <c r="I272" s="22"/>
      <c r="J272" s="22"/>
      <c r="K272" s="22"/>
      <c r="L272" s="22"/>
      <c r="M272" s="22"/>
      <c r="N272" s="22"/>
    </row>
    <row r="273" spans="1:21">
      <c r="A273" s="165"/>
      <c r="B273" s="66"/>
      <c r="C273" s="66"/>
      <c r="D273" s="66"/>
      <c r="E273" s="66"/>
      <c r="F273" s="73" t="s">
        <v>178</v>
      </c>
      <c r="G273" s="66"/>
      <c r="H273" s="22"/>
      <c r="I273" s="22"/>
      <c r="J273" s="22"/>
      <c r="K273" s="22"/>
      <c r="L273" s="22"/>
      <c r="M273" s="22"/>
      <c r="N273" s="22"/>
    </row>
    <row r="274" spans="1:21" ht="54" customHeight="1">
      <c r="A274" s="165"/>
      <c r="B274" s="66"/>
      <c r="C274" s="66"/>
      <c r="D274" s="66"/>
      <c r="E274" s="66"/>
      <c r="F274" s="73" t="s">
        <v>178</v>
      </c>
      <c r="G274" s="66"/>
      <c r="H274" s="22"/>
      <c r="I274" s="22"/>
      <c r="J274" s="22"/>
      <c r="K274" s="22"/>
      <c r="L274" s="22"/>
      <c r="M274" s="22"/>
      <c r="N274" s="22"/>
    </row>
    <row r="275" spans="1:21">
      <c r="A275" s="165"/>
      <c r="B275" s="66">
        <v>2443</v>
      </c>
      <c r="C275" s="66" t="s">
        <v>9</v>
      </c>
      <c r="D275" s="66">
        <v>4</v>
      </c>
      <c r="E275" s="66">
        <v>3</v>
      </c>
      <c r="F275" s="73" t="s">
        <v>252</v>
      </c>
      <c r="G275" s="66"/>
      <c r="H275" s="22"/>
      <c r="I275" s="22"/>
      <c r="J275" s="22"/>
      <c r="K275" s="22"/>
      <c r="L275" s="22"/>
      <c r="M275" s="22"/>
      <c r="N275" s="22"/>
    </row>
    <row r="276" spans="1:21" ht="40.5">
      <c r="A276" s="165"/>
      <c r="B276" s="66"/>
      <c r="C276" s="66"/>
      <c r="D276" s="66"/>
      <c r="E276" s="66"/>
      <c r="F276" s="73" t="s">
        <v>177</v>
      </c>
      <c r="G276" s="66"/>
      <c r="H276" s="22"/>
      <c r="I276" s="22"/>
      <c r="J276" s="22"/>
      <c r="K276" s="22"/>
      <c r="L276" s="22"/>
      <c r="M276" s="22"/>
      <c r="N276" s="22"/>
    </row>
    <row r="277" spans="1:21">
      <c r="A277" s="165"/>
      <c r="B277" s="66"/>
      <c r="C277" s="66"/>
      <c r="D277" s="66"/>
      <c r="E277" s="66"/>
      <c r="F277" s="73" t="s">
        <v>178</v>
      </c>
      <c r="G277" s="66"/>
      <c r="H277" s="22"/>
      <c r="I277" s="22"/>
      <c r="J277" s="22"/>
      <c r="K277" s="22"/>
      <c r="L277" s="22"/>
      <c r="M277" s="22"/>
      <c r="N277" s="22"/>
    </row>
    <row r="278" spans="1:21">
      <c r="A278" s="165"/>
      <c r="B278" s="66"/>
      <c r="C278" s="66"/>
      <c r="D278" s="66"/>
      <c r="E278" s="66"/>
      <c r="F278" s="73" t="s">
        <v>178</v>
      </c>
      <c r="G278" s="66"/>
      <c r="H278" s="22"/>
      <c r="I278" s="22"/>
      <c r="J278" s="22"/>
      <c r="K278" s="22"/>
      <c r="L278" s="22"/>
      <c r="M278" s="22"/>
      <c r="N278" s="22"/>
    </row>
    <row r="279" spans="1:21">
      <c r="A279" s="165"/>
      <c r="B279" s="66">
        <v>2450</v>
      </c>
      <c r="C279" s="66" t="s">
        <v>9</v>
      </c>
      <c r="D279" s="66">
        <v>5</v>
      </c>
      <c r="E279" s="66">
        <v>0</v>
      </c>
      <c r="F279" s="73" t="s">
        <v>253</v>
      </c>
      <c r="G279" s="66"/>
      <c r="H279" s="22">
        <f t="shared" ref="H279:N279" si="39">H281+H290+H294+H302</f>
        <v>3597651.5290000001</v>
      </c>
      <c r="I279" s="22">
        <f t="shared" si="39"/>
        <v>434477.2</v>
      </c>
      <c r="J279" s="22">
        <f t="shared" si="39"/>
        <v>3163174.3289999999</v>
      </c>
      <c r="K279" s="22">
        <f t="shared" si="39"/>
        <v>2473278.3922285722</v>
      </c>
      <c r="L279" s="22">
        <f t="shared" si="39"/>
        <v>2711500.6857797727</v>
      </c>
      <c r="M279" s="22">
        <f t="shared" si="39"/>
        <v>3151811.0178507618</v>
      </c>
      <c r="N279" s="22">
        <f t="shared" si="39"/>
        <v>3597651.5290000001</v>
      </c>
    </row>
    <row r="280" spans="1:21" ht="51.75" customHeight="1">
      <c r="A280" s="165"/>
      <c r="B280" s="66"/>
      <c r="C280" s="66"/>
      <c r="D280" s="66"/>
      <c r="E280" s="66"/>
      <c r="F280" s="73" t="s">
        <v>156</v>
      </c>
      <c r="G280" s="66"/>
      <c r="H280" s="22"/>
      <c r="I280" s="22"/>
      <c r="J280" s="22"/>
      <c r="K280" s="22"/>
      <c r="L280" s="22"/>
      <c r="M280" s="22"/>
      <c r="N280" s="22"/>
    </row>
    <row r="281" spans="1:21">
      <c r="A281" s="165"/>
      <c r="B281" s="66">
        <v>2451</v>
      </c>
      <c r="C281" s="66" t="s">
        <v>9</v>
      </c>
      <c r="D281" s="66">
        <v>5</v>
      </c>
      <c r="E281" s="66">
        <v>1</v>
      </c>
      <c r="F281" s="73" t="s">
        <v>254</v>
      </c>
      <c r="G281" s="66"/>
      <c r="H281" s="22">
        <f>H283+H284+H285+H286+H287+H288</f>
        <v>3597651.5290000001</v>
      </c>
      <c r="I281" s="22">
        <f t="shared" ref="I281:N281" si="40">I283+I284+I285+I286+I287+I288</f>
        <v>434477.2</v>
      </c>
      <c r="J281" s="22">
        <f t="shared" si="40"/>
        <v>3163174.3289999999</v>
      </c>
      <c r="K281" s="22">
        <f t="shared" si="40"/>
        <v>2473278.3922285722</v>
      </c>
      <c r="L281" s="22">
        <f t="shared" si="40"/>
        <v>2711500.6857797727</v>
      </c>
      <c r="M281" s="22">
        <f t="shared" si="40"/>
        <v>3151811.0178507618</v>
      </c>
      <c r="N281" s="22">
        <f t="shared" si="40"/>
        <v>3597651.5290000001</v>
      </c>
    </row>
    <row r="282" spans="1:21" ht="40.5">
      <c r="A282" s="165"/>
      <c r="B282" s="66"/>
      <c r="C282" s="66"/>
      <c r="D282" s="66"/>
      <c r="E282" s="66"/>
      <c r="F282" s="73" t="s">
        <v>177</v>
      </c>
      <c r="G282" s="66"/>
      <c r="H282" s="22"/>
      <c r="I282" s="22"/>
      <c r="J282" s="22"/>
      <c r="K282" s="22"/>
      <c r="L282" s="22"/>
      <c r="M282" s="22"/>
      <c r="N282" s="22"/>
    </row>
    <row r="283" spans="1:21">
      <c r="A283" s="165"/>
      <c r="B283" s="66"/>
      <c r="C283" s="66"/>
      <c r="D283" s="66"/>
      <c r="E283" s="66"/>
      <c r="F283" s="73" t="s">
        <v>547</v>
      </c>
      <c r="G283" s="66">
        <v>4239</v>
      </c>
      <c r="H283" s="22">
        <f t="shared" ref="H283:H288" si="41">SUM(I283:J283)</f>
        <v>42477.2</v>
      </c>
      <c r="I283" s="22">
        <v>42477.2</v>
      </c>
      <c r="J283" s="22"/>
      <c r="K283" s="156">
        <v>9114.6285714285714</v>
      </c>
      <c r="L283" s="156">
        <v>13829.347619047621</v>
      </c>
      <c r="M283" s="156">
        <v>42477.2</v>
      </c>
      <c r="N283" s="156">
        <f t="shared" ref="N283:N288" si="42">+H283</f>
        <v>42477.2</v>
      </c>
    </row>
    <row r="284" spans="1:21">
      <c r="A284" s="165"/>
      <c r="B284" s="66"/>
      <c r="C284" s="66"/>
      <c r="D284" s="66"/>
      <c r="E284" s="66"/>
      <c r="F284" s="73" t="s">
        <v>548</v>
      </c>
      <c r="G284" s="66">
        <v>4251</v>
      </c>
      <c r="H284" s="22">
        <f t="shared" si="41"/>
        <v>347000</v>
      </c>
      <c r="I284" s="22">
        <v>347000</v>
      </c>
      <c r="J284" s="22"/>
      <c r="K284" s="156">
        <v>47619.047619047618</v>
      </c>
      <c r="L284" s="156">
        <v>96031.746031746021</v>
      </c>
      <c r="M284" s="156">
        <v>247000</v>
      </c>
      <c r="N284" s="156">
        <f t="shared" si="42"/>
        <v>347000</v>
      </c>
    </row>
    <row r="285" spans="1:21">
      <c r="A285" s="165"/>
      <c r="B285" s="66"/>
      <c r="C285" s="66"/>
      <c r="D285" s="66"/>
      <c r="E285" s="66"/>
      <c r="F285" s="73" t="s">
        <v>169</v>
      </c>
      <c r="G285" s="66">
        <v>4269</v>
      </c>
      <c r="H285" s="22">
        <f t="shared" si="41"/>
        <v>45000</v>
      </c>
      <c r="I285" s="22">
        <v>45000</v>
      </c>
      <c r="J285" s="22"/>
      <c r="K285" s="156">
        <v>19047.61904761905</v>
      </c>
      <c r="L285" s="156">
        <v>38412.698412698417</v>
      </c>
      <c r="M285" s="156">
        <v>45000</v>
      </c>
      <c r="N285" s="156">
        <f t="shared" si="42"/>
        <v>45000</v>
      </c>
      <c r="P285" s="165"/>
      <c r="Q285" s="165"/>
      <c r="R285" s="165"/>
      <c r="S285" s="165"/>
      <c r="T285" s="165"/>
      <c r="U285" s="165"/>
    </row>
    <row r="286" spans="1:21">
      <c r="A286" s="165"/>
      <c r="B286" s="66"/>
      <c r="C286" s="66"/>
      <c r="D286" s="66"/>
      <c r="E286" s="66"/>
      <c r="F286" s="73" t="s">
        <v>593</v>
      </c>
      <c r="G286" s="66">
        <v>5113</v>
      </c>
      <c r="H286" s="22">
        <f t="shared" si="41"/>
        <v>2838276.7289999998</v>
      </c>
      <c r="I286" s="22"/>
      <c r="J286" s="22">
        <v>2838276.7289999998</v>
      </c>
      <c r="K286" s="156">
        <v>2339408.2398476196</v>
      </c>
      <c r="L286" s="156">
        <v>2446361.1234781854</v>
      </c>
      <c r="M286" s="156">
        <v>2576438.2019777456</v>
      </c>
      <c r="N286" s="156">
        <f t="shared" si="42"/>
        <v>2838276.7289999998</v>
      </c>
    </row>
    <row r="287" spans="1:21">
      <c r="A287" s="165"/>
      <c r="B287" s="66"/>
      <c r="C287" s="66"/>
      <c r="D287" s="66"/>
      <c r="E287" s="66"/>
      <c r="F287" s="75" t="s">
        <v>174</v>
      </c>
      <c r="G287" s="66" t="s">
        <v>93</v>
      </c>
      <c r="H287" s="22">
        <f t="shared" si="41"/>
        <v>222100</v>
      </c>
      <c r="I287" s="22"/>
      <c r="J287" s="22">
        <f>49500+134100+2500+21000+15000</f>
        <v>222100</v>
      </c>
      <c r="K287" s="156">
        <v>44309.523809523809</v>
      </c>
      <c r="L287" s="156">
        <v>89357.539682539689</v>
      </c>
      <c r="M287" s="156">
        <v>138098.01587301589</v>
      </c>
      <c r="N287" s="156">
        <f t="shared" si="42"/>
        <v>222100</v>
      </c>
    </row>
    <row r="288" spans="1:21">
      <c r="A288" s="165"/>
      <c r="B288" s="66"/>
      <c r="C288" s="66"/>
      <c r="D288" s="66"/>
      <c r="E288" s="66"/>
      <c r="F288" s="73" t="s">
        <v>755</v>
      </c>
      <c r="G288" s="66" t="s">
        <v>99</v>
      </c>
      <c r="H288" s="22">
        <f t="shared" si="41"/>
        <v>102797.6</v>
      </c>
      <c r="I288" s="22"/>
      <c r="J288" s="22">
        <f>12400+9840.6+25000+9200+275.5+25381.5+700+20000</f>
        <v>102797.6</v>
      </c>
      <c r="K288" s="156">
        <v>13779.333333333334</v>
      </c>
      <c r="L288" s="156">
        <v>27508.230555555558</v>
      </c>
      <c r="M288" s="156">
        <v>102797.6</v>
      </c>
      <c r="N288" s="156">
        <f t="shared" si="42"/>
        <v>102797.6</v>
      </c>
    </row>
    <row r="289" spans="1:14">
      <c r="A289" s="165"/>
      <c r="B289" s="66"/>
      <c r="C289" s="66"/>
      <c r="D289" s="66"/>
      <c r="E289" s="66"/>
      <c r="F289" s="73" t="s">
        <v>178</v>
      </c>
      <c r="G289" s="66"/>
      <c r="H289" s="22"/>
      <c r="I289" s="22"/>
      <c r="J289" s="22"/>
      <c r="K289" s="22"/>
      <c r="L289" s="22"/>
      <c r="M289" s="22"/>
      <c r="N289" s="22"/>
    </row>
    <row r="290" spans="1:14">
      <c r="A290" s="165"/>
      <c r="B290" s="66">
        <v>2452</v>
      </c>
      <c r="C290" s="66" t="s">
        <v>9</v>
      </c>
      <c r="D290" s="66">
        <v>5</v>
      </c>
      <c r="E290" s="66">
        <v>2</v>
      </c>
      <c r="F290" s="73" t="s">
        <v>255</v>
      </c>
      <c r="G290" s="66"/>
      <c r="H290" s="22"/>
      <c r="I290" s="22"/>
      <c r="J290" s="22"/>
      <c r="K290" s="22"/>
      <c r="L290" s="22"/>
      <c r="M290" s="22"/>
      <c r="N290" s="22"/>
    </row>
    <row r="291" spans="1:14" ht="40.5">
      <c r="A291" s="165"/>
      <c r="B291" s="66"/>
      <c r="C291" s="66"/>
      <c r="D291" s="66"/>
      <c r="E291" s="66"/>
      <c r="F291" s="73" t="s">
        <v>177</v>
      </c>
      <c r="G291" s="66"/>
      <c r="H291" s="22"/>
      <c r="I291" s="22"/>
      <c r="J291" s="22"/>
      <c r="K291" s="22"/>
      <c r="L291" s="22"/>
      <c r="M291" s="22"/>
      <c r="N291" s="22"/>
    </row>
    <row r="292" spans="1:14">
      <c r="A292" s="165"/>
      <c r="B292" s="66"/>
      <c r="C292" s="66"/>
      <c r="D292" s="66"/>
      <c r="E292" s="66"/>
      <c r="F292" s="73" t="s">
        <v>178</v>
      </c>
      <c r="G292" s="66"/>
      <c r="H292" s="22"/>
      <c r="I292" s="22"/>
      <c r="J292" s="22"/>
      <c r="K292" s="22"/>
      <c r="L292" s="22"/>
      <c r="M292" s="22"/>
      <c r="N292" s="22"/>
    </row>
    <row r="293" spans="1:14" ht="53.25" customHeight="1">
      <c r="A293" s="165"/>
      <c r="B293" s="66"/>
      <c r="C293" s="66"/>
      <c r="D293" s="66"/>
      <c r="E293" s="66"/>
      <c r="F293" s="73" t="s">
        <v>178</v>
      </c>
      <c r="G293" s="66"/>
      <c r="H293" s="22"/>
      <c r="I293" s="22"/>
      <c r="J293" s="22"/>
      <c r="K293" s="22"/>
      <c r="L293" s="22"/>
      <c r="M293" s="22"/>
      <c r="N293" s="22"/>
    </row>
    <row r="294" spans="1:14">
      <c r="A294" s="165"/>
      <c r="B294" s="66">
        <v>2453</v>
      </c>
      <c r="C294" s="66" t="s">
        <v>9</v>
      </c>
      <c r="D294" s="66">
        <v>5</v>
      </c>
      <c r="E294" s="66">
        <v>3</v>
      </c>
      <c r="F294" s="73" t="s">
        <v>256</v>
      </c>
      <c r="G294" s="66"/>
      <c r="H294" s="22"/>
      <c r="I294" s="22"/>
      <c r="J294" s="22"/>
      <c r="K294" s="22"/>
      <c r="L294" s="22"/>
      <c r="M294" s="22"/>
      <c r="N294" s="22"/>
    </row>
    <row r="295" spans="1:14" ht="40.5">
      <c r="A295" s="165"/>
      <c r="B295" s="66"/>
      <c r="C295" s="66"/>
      <c r="D295" s="66"/>
      <c r="E295" s="66"/>
      <c r="F295" s="73" t="s">
        <v>177</v>
      </c>
      <c r="G295" s="66"/>
      <c r="H295" s="22"/>
      <c r="I295" s="22"/>
      <c r="J295" s="22"/>
      <c r="K295" s="22"/>
      <c r="L295" s="22"/>
      <c r="M295" s="22"/>
      <c r="N295" s="22"/>
    </row>
    <row r="296" spans="1:14">
      <c r="A296" s="165"/>
      <c r="B296" s="66"/>
      <c r="C296" s="66"/>
      <c r="D296" s="66"/>
      <c r="E296" s="66"/>
      <c r="F296" s="73" t="s">
        <v>178</v>
      </c>
      <c r="G296" s="66"/>
      <c r="H296" s="22"/>
      <c r="I296" s="22"/>
      <c r="J296" s="22"/>
      <c r="K296" s="22"/>
      <c r="L296" s="22"/>
      <c r="M296" s="22"/>
      <c r="N296" s="22"/>
    </row>
    <row r="297" spans="1:14" ht="52.5" customHeight="1">
      <c r="A297" s="165"/>
      <c r="B297" s="66"/>
      <c r="C297" s="66"/>
      <c r="D297" s="66"/>
      <c r="E297" s="66"/>
      <c r="F297" s="73" t="s">
        <v>178</v>
      </c>
      <c r="G297" s="66"/>
      <c r="H297" s="22"/>
      <c r="I297" s="22"/>
      <c r="J297" s="22"/>
      <c r="K297" s="22"/>
      <c r="L297" s="22"/>
      <c r="M297" s="22"/>
      <c r="N297" s="22"/>
    </row>
    <row r="298" spans="1:14">
      <c r="A298" s="165"/>
      <c r="B298" s="66">
        <v>2454</v>
      </c>
      <c r="C298" s="66" t="s">
        <v>9</v>
      </c>
      <c r="D298" s="66">
        <v>5</v>
      </c>
      <c r="E298" s="66">
        <v>4</v>
      </c>
      <c r="F298" s="73" t="s">
        <v>257</v>
      </c>
      <c r="G298" s="66"/>
      <c r="H298" s="22"/>
      <c r="I298" s="22"/>
      <c r="J298" s="22"/>
      <c r="K298" s="22"/>
      <c r="L298" s="22"/>
      <c r="M298" s="22"/>
      <c r="N298" s="22"/>
    </row>
    <row r="299" spans="1:14" ht="40.5">
      <c r="A299" s="165"/>
      <c r="B299" s="66"/>
      <c r="C299" s="66"/>
      <c r="D299" s="66"/>
      <c r="E299" s="66"/>
      <c r="F299" s="73" t="s">
        <v>177</v>
      </c>
      <c r="G299" s="66"/>
      <c r="H299" s="22"/>
      <c r="I299" s="22"/>
      <c r="J299" s="22"/>
      <c r="K299" s="22"/>
      <c r="L299" s="22"/>
      <c r="M299" s="22"/>
      <c r="N299" s="22"/>
    </row>
    <row r="300" spans="1:14">
      <c r="A300" s="165"/>
      <c r="B300" s="66"/>
      <c r="C300" s="66"/>
      <c r="D300" s="66"/>
      <c r="E300" s="66"/>
      <c r="F300" s="73" t="s">
        <v>178</v>
      </c>
      <c r="G300" s="66"/>
      <c r="H300" s="22"/>
      <c r="I300" s="22"/>
      <c r="J300" s="22"/>
      <c r="K300" s="22"/>
      <c r="L300" s="22"/>
      <c r="M300" s="22"/>
      <c r="N300" s="22"/>
    </row>
    <row r="301" spans="1:14" ht="51" customHeight="1">
      <c r="A301" s="165"/>
      <c r="B301" s="66"/>
      <c r="C301" s="66"/>
      <c r="D301" s="66"/>
      <c r="E301" s="66"/>
      <c r="F301" s="73" t="s">
        <v>178</v>
      </c>
      <c r="G301" s="66"/>
      <c r="H301" s="22"/>
      <c r="I301" s="22"/>
      <c r="J301" s="22"/>
      <c r="K301" s="22"/>
      <c r="L301" s="22"/>
      <c r="M301" s="22"/>
      <c r="N301" s="22"/>
    </row>
    <row r="302" spans="1:14">
      <c r="A302" s="165"/>
      <c r="B302" s="66">
        <v>2455</v>
      </c>
      <c r="C302" s="66" t="s">
        <v>9</v>
      </c>
      <c r="D302" s="66">
        <v>5</v>
      </c>
      <c r="E302" s="66">
        <v>5</v>
      </c>
      <c r="F302" s="73" t="s">
        <v>258</v>
      </c>
      <c r="G302" s="66"/>
      <c r="H302" s="22"/>
      <c r="I302" s="22"/>
      <c r="J302" s="22"/>
      <c r="K302" s="22"/>
      <c r="L302" s="22"/>
      <c r="M302" s="22"/>
      <c r="N302" s="22"/>
    </row>
    <row r="303" spans="1:14" ht="40.5">
      <c r="A303" s="165"/>
      <c r="B303" s="66"/>
      <c r="C303" s="66"/>
      <c r="D303" s="66"/>
      <c r="E303" s="66"/>
      <c r="F303" s="73" t="s">
        <v>177</v>
      </c>
      <c r="G303" s="66"/>
      <c r="H303" s="22"/>
      <c r="I303" s="22"/>
      <c r="J303" s="22"/>
      <c r="K303" s="22"/>
      <c r="L303" s="22"/>
      <c r="M303" s="22"/>
      <c r="N303" s="22"/>
    </row>
    <row r="304" spans="1:14">
      <c r="A304" s="165"/>
      <c r="B304" s="66"/>
      <c r="C304" s="66"/>
      <c r="D304" s="66"/>
      <c r="E304" s="66"/>
      <c r="F304" s="73" t="s">
        <v>178</v>
      </c>
      <c r="G304" s="66"/>
      <c r="H304" s="22"/>
      <c r="I304" s="22"/>
      <c r="J304" s="22"/>
      <c r="K304" s="22"/>
      <c r="L304" s="22"/>
      <c r="M304" s="22"/>
      <c r="N304" s="22"/>
    </row>
    <row r="305" spans="1:14">
      <c r="A305" s="165"/>
      <c r="B305" s="66"/>
      <c r="C305" s="66"/>
      <c r="D305" s="66"/>
      <c r="E305" s="66"/>
      <c r="F305" s="73" t="s">
        <v>178</v>
      </c>
      <c r="G305" s="66"/>
      <c r="H305" s="22"/>
      <c r="I305" s="22"/>
      <c r="J305" s="22"/>
      <c r="K305" s="22"/>
      <c r="L305" s="22"/>
      <c r="M305" s="22"/>
      <c r="N305" s="22"/>
    </row>
    <row r="306" spans="1:14">
      <c r="A306" s="165"/>
      <c r="B306" s="66">
        <v>2460</v>
      </c>
      <c r="C306" s="66" t="s">
        <v>9</v>
      </c>
      <c r="D306" s="66">
        <v>6</v>
      </c>
      <c r="E306" s="66">
        <v>0</v>
      </c>
      <c r="F306" s="73" t="s">
        <v>259</v>
      </c>
      <c r="G306" s="66"/>
      <c r="H306" s="22"/>
      <c r="I306" s="22"/>
      <c r="J306" s="22"/>
      <c r="K306" s="22"/>
      <c r="L306" s="22"/>
      <c r="M306" s="22"/>
      <c r="N306" s="22"/>
    </row>
    <row r="307" spans="1:14" ht="52.5" customHeight="1">
      <c r="A307" s="165"/>
      <c r="B307" s="66"/>
      <c r="C307" s="66"/>
      <c r="D307" s="66"/>
      <c r="E307" s="66"/>
      <c r="F307" s="73" t="s">
        <v>156</v>
      </c>
      <c r="G307" s="66"/>
      <c r="H307" s="22"/>
      <c r="I307" s="22"/>
      <c r="J307" s="22"/>
      <c r="K307" s="22"/>
      <c r="L307" s="22"/>
      <c r="M307" s="22"/>
      <c r="N307" s="22"/>
    </row>
    <row r="308" spans="1:14">
      <c r="A308" s="165"/>
      <c r="B308" s="66">
        <v>2461</v>
      </c>
      <c r="C308" s="66" t="s">
        <v>9</v>
      </c>
      <c r="D308" s="66">
        <v>6</v>
      </c>
      <c r="E308" s="66">
        <v>1</v>
      </c>
      <c r="F308" s="73" t="s">
        <v>260</v>
      </c>
      <c r="G308" s="66"/>
      <c r="H308" s="22"/>
      <c r="I308" s="22"/>
      <c r="J308" s="22"/>
      <c r="K308" s="22"/>
      <c r="L308" s="22"/>
      <c r="M308" s="22"/>
      <c r="N308" s="22"/>
    </row>
    <row r="309" spans="1:14" ht="40.5">
      <c r="A309" s="165"/>
      <c r="B309" s="66"/>
      <c r="C309" s="66"/>
      <c r="D309" s="66"/>
      <c r="E309" s="66"/>
      <c r="F309" s="73" t="s">
        <v>177</v>
      </c>
      <c r="G309" s="66"/>
      <c r="H309" s="22"/>
      <c r="I309" s="22"/>
      <c r="J309" s="22"/>
      <c r="K309" s="22"/>
      <c r="L309" s="22"/>
      <c r="M309" s="22"/>
      <c r="N309" s="22"/>
    </row>
    <row r="310" spans="1:14">
      <c r="A310" s="165"/>
      <c r="B310" s="66"/>
      <c r="C310" s="66"/>
      <c r="D310" s="66"/>
      <c r="E310" s="66"/>
      <c r="F310" s="73" t="s">
        <v>178</v>
      </c>
      <c r="G310" s="66"/>
      <c r="H310" s="22"/>
      <c r="I310" s="22"/>
      <c r="J310" s="22"/>
      <c r="K310" s="22"/>
      <c r="L310" s="22"/>
      <c r="M310" s="22"/>
      <c r="N310" s="22"/>
    </row>
    <row r="311" spans="1:14">
      <c r="A311" s="165"/>
      <c r="B311" s="66"/>
      <c r="C311" s="66"/>
      <c r="D311" s="66"/>
      <c r="E311" s="66"/>
      <c r="F311" s="73" t="s">
        <v>178</v>
      </c>
      <c r="G311" s="66"/>
      <c r="H311" s="22"/>
      <c r="I311" s="22"/>
      <c r="J311" s="22"/>
      <c r="K311" s="22"/>
      <c r="L311" s="22"/>
      <c r="M311" s="22"/>
      <c r="N311" s="22"/>
    </row>
    <row r="312" spans="1:14">
      <c r="A312" s="165"/>
      <c r="B312" s="66">
        <v>2470</v>
      </c>
      <c r="C312" s="66" t="s">
        <v>9</v>
      </c>
      <c r="D312" s="66">
        <v>7</v>
      </c>
      <c r="E312" s="66">
        <v>0</v>
      </c>
      <c r="F312" s="73" t="s">
        <v>261</v>
      </c>
      <c r="G312" s="66"/>
      <c r="H312" s="22"/>
      <c r="I312" s="22"/>
      <c r="J312" s="22"/>
      <c r="K312" s="22"/>
      <c r="L312" s="22"/>
      <c r="M312" s="22"/>
      <c r="N312" s="22"/>
    </row>
    <row r="313" spans="1:14" ht="52.5" customHeight="1">
      <c r="A313" s="165"/>
      <c r="B313" s="66"/>
      <c r="C313" s="66"/>
      <c r="D313" s="66"/>
      <c r="E313" s="66"/>
      <c r="F313" s="73" t="s">
        <v>156</v>
      </c>
      <c r="G313" s="66"/>
      <c r="H313" s="22"/>
      <c r="I313" s="22"/>
      <c r="J313" s="22"/>
      <c r="K313" s="22"/>
      <c r="L313" s="22"/>
      <c r="M313" s="22"/>
      <c r="N313" s="22"/>
    </row>
    <row r="314" spans="1:14" ht="27">
      <c r="A314" s="165"/>
      <c r="B314" s="66">
        <v>2471</v>
      </c>
      <c r="C314" s="66" t="s">
        <v>9</v>
      </c>
      <c r="D314" s="66">
        <v>7</v>
      </c>
      <c r="E314" s="66">
        <v>1</v>
      </c>
      <c r="F314" s="73" t="s">
        <v>262</v>
      </c>
      <c r="G314" s="66"/>
      <c r="H314" s="22"/>
      <c r="I314" s="22"/>
      <c r="J314" s="22"/>
      <c r="K314" s="22"/>
      <c r="L314" s="22"/>
      <c r="M314" s="22"/>
      <c r="N314" s="22"/>
    </row>
    <row r="315" spans="1:14" ht="40.5">
      <c r="A315" s="165"/>
      <c r="B315" s="66"/>
      <c r="C315" s="66"/>
      <c r="D315" s="66"/>
      <c r="E315" s="66"/>
      <c r="F315" s="73" t="s">
        <v>177</v>
      </c>
      <c r="G315" s="66"/>
      <c r="H315" s="22"/>
      <c r="I315" s="22"/>
      <c r="J315" s="22"/>
      <c r="K315" s="22"/>
      <c r="L315" s="22"/>
      <c r="M315" s="22"/>
      <c r="N315" s="22"/>
    </row>
    <row r="316" spans="1:14" ht="42" customHeight="1">
      <c r="A316" s="165"/>
      <c r="B316" s="66"/>
      <c r="C316" s="66"/>
      <c r="D316" s="66"/>
      <c r="E316" s="66"/>
      <c r="F316" s="73" t="s">
        <v>178</v>
      </c>
      <c r="G316" s="66"/>
      <c r="H316" s="22"/>
      <c r="I316" s="22"/>
      <c r="J316" s="22"/>
      <c r="K316" s="22"/>
      <c r="L316" s="22"/>
      <c r="M316" s="22"/>
      <c r="N316" s="22"/>
    </row>
    <row r="317" spans="1:14" ht="51.75" customHeight="1">
      <c r="A317" s="165"/>
      <c r="B317" s="66"/>
      <c r="C317" s="66"/>
      <c r="D317" s="66"/>
      <c r="E317" s="66"/>
      <c r="F317" s="73" t="s">
        <v>178</v>
      </c>
      <c r="G317" s="66"/>
      <c r="H317" s="22"/>
      <c r="I317" s="22"/>
      <c r="J317" s="22"/>
      <c r="K317" s="22"/>
      <c r="L317" s="22"/>
      <c r="M317" s="22"/>
      <c r="N317" s="22"/>
    </row>
    <row r="318" spans="1:14">
      <c r="A318" s="165"/>
      <c r="B318" s="66">
        <v>2472</v>
      </c>
      <c r="C318" s="66" t="s">
        <v>9</v>
      </c>
      <c r="D318" s="66">
        <v>7</v>
      </c>
      <c r="E318" s="66">
        <v>2</v>
      </c>
      <c r="F318" s="73" t="s">
        <v>263</v>
      </c>
      <c r="G318" s="66"/>
      <c r="H318" s="22"/>
      <c r="I318" s="22"/>
      <c r="J318" s="22"/>
      <c r="K318" s="22"/>
      <c r="L318" s="22"/>
      <c r="M318" s="22"/>
      <c r="N318" s="22"/>
    </row>
    <row r="319" spans="1:14" ht="40.5">
      <c r="A319" s="165"/>
      <c r="B319" s="66"/>
      <c r="C319" s="66"/>
      <c r="D319" s="66"/>
      <c r="E319" s="66"/>
      <c r="F319" s="73" t="s">
        <v>177</v>
      </c>
      <c r="G319" s="66"/>
      <c r="H319" s="22"/>
      <c r="I319" s="22"/>
      <c r="J319" s="22"/>
      <c r="K319" s="22"/>
      <c r="L319" s="22"/>
      <c r="M319" s="22"/>
      <c r="N319" s="22"/>
    </row>
    <row r="320" spans="1:14">
      <c r="A320" s="165"/>
      <c r="B320" s="66"/>
      <c r="C320" s="66"/>
      <c r="D320" s="66"/>
      <c r="E320" s="66"/>
      <c r="F320" s="73" t="s">
        <v>178</v>
      </c>
      <c r="G320" s="66"/>
      <c r="H320" s="22"/>
      <c r="I320" s="22"/>
      <c r="J320" s="22"/>
      <c r="K320" s="22"/>
      <c r="L320" s="22"/>
      <c r="M320" s="22"/>
      <c r="N320" s="22"/>
    </row>
    <row r="321" spans="1:14" ht="51" customHeight="1">
      <c r="A321" s="165"/>
      <c r="B321" s="66"/>
      <c r="C321" s="66"/>
      <c r="D321" s="66"/>
      <c r="E321" s="66"/>
      <c r="F321" s="73" t="s">
        <v>178</v>
      </c>
      <c r="G321" s="66"/>
      <c r="H321" s="22"/>
      <c r="I321" s="22"/>
      <c r="J321" s="22"/>
      <c r="K321" s="22"/>
      <c r="L321" s="22"/>
      <c r="M321" s="22"/>
      <c r="N321" s="22"/>
    </row>
    <row r="322" spans="1:14">
      <c r="A322" s="165"/>
      <c r="B322" s="66">
        <v>2473</v>
      </c>
      <c r="C322" s="66" t="s">
        <v>9</v>
      </c>
      <c r="D322" s="66">
        <v>7</v>
      </c>
      <c r="E322" s="66">
        <v>3</v>
      </c>
      <c r="F322" s="73" t="s">
        <v>264</v>
      </c>
      <c r="G322" s="66"/>
      <c r="H322" s="22"/>
      <c r="I322" s="22"/>
      <c r="J322" s="22"/>
      <c r="K322" s="22"/>
      <c r="L322" s="22"/>
      <c r="M322" s="22"/>
      <c r="N322" s="22"/>
    </row>
    <row r="323" spans="1:14" ht="40.5">
      <c r="A323" s="165"/>
      <c r="B323" s="66"/>
      <c r="C323" s="66"/>
      <c r="D323" s="66"/>
      <c r="E323" s="66"/>
      <c r="F323" s="73" t="s">
        <v>177</v>
      </c>
      <c r="G323" s="66"/>
      <c r="H323" s="22"/>
      <c r="I323" s="22"/>
      <c r="J323" s="22"/>
      <c r="K323" s="22"/>
      <c r="L323" s="22"/>
      <c r="M323" s="22"/>
      <c r="N323" s="22"/>
    </row>
    <row r="324" spans="1:14">
      <c r="A324" s="165"/>
      <c r="B324" s="66"/>
      <c r="C324" s="66"/>
      <c r="D324" s="66"/>
      <c r="E324" s="66"/>
      <c r="F324" s="73" t="s">
        <v>178</v>
      </c>
      <c r="G324" s="66"/>
      <c r="H324" s="22"/>
      <c r="I324" s="22"/>
      <c r="J324" s="22"/>
      <c r="K324" s="22"/>
      <c r="L324" s="22"/>
      <c r="M324" s="22"/>
      <c r="N324" s="22"/>
    </row>
    <row r="325" spans="1:14" ht="51" customHeight="1">
      <c r="A325" s="165"/>
      <c r="B325" s="66"/>
      <c r="C325" s="66"/>
      <c r="D325" s="66"/>
      <c r="E325" s="66"/>
      <c r="F325" s="73" t="s">
        <v>178</v>
      </c>
      <c r="G325" s="66"/>
      <c r="H325" s="22"/>
      <c r="I325" s="22"/>
      <c r="J325" s="22"/>
      <c r="K325" s="22"/>
      <c r="L325" s="22"/>
      <c r="M325" s="22"/>
      <c r="N325" s="22"/>
    </row>
    <row r="326" spans="1:14">
      <c r="A326" s="165"/>
      <c r="B326" s="66">
        <v>2474</v>
      </c>
      <c r="C326" s="66" t="s">
        <v>9</v>
      </c>
      <c r="D326" s="66">
        <v>7</v>
      </c>
      <c r="E326" s="66">
        <v>4</v>
      </c>
      <c r="F326" s="73" t="s">
        <v>265</v>
      </c>
      <c r="G326" s="66"/>
      <c r="H326" s="22"/>
      <c r="I326" s="22"/>
      <c r="J326" s="22"/>
      <c r="K326" s="22"/>
      <c r="L326" s="22"/>
      <c r="M326" s="22"/>
      <c r="N326" s="22"/>
    </row>
    <row r="327" spans="1:14" ht="40.5">
      <c r="A327" s="165"/>
      <c r="B327" s="66"/>
      <c r="C327" s="66"/>
      <c r="D327" s="66"/>
      <c r="E327" s="66"/>
      <c r="F327" s="73" t="s">
        <v>177</v>
      </c>
      <c r="G327" s="66"/>
      <c r="H327" s="22"/>
      <c r="I327" s="22"/>
      <c r="J327" s="22"/>
      <c r="K327" s="22"/>
      <c r="L327" s="22"/>
      <c r="M327" s="22"/>
      <c r="N327" s="22"/>
    </row>
    <row r="328" spans="1:14" ht="50.25" customHeight="1">
      <c r="A328" s="165"/>
      <c r="B328" s="66"/>
      <c r="C328" s="66"/>
      <c r="D328" s="66"/>
      <c r="E328" s="66"/>
      <c r="F328" s="73" t="s">
        <v>178</v>
      </c>
      <c r="G328" s="66"/>
      <c r="H328" s="22"/>
      <c r="I328" s="22"/>
      <c r="J328" s="22"/>
      <c r="K328" s="22"/>
      <c r="L328" s="22"/>
      <c r="M328" s="22"/>
      <c r="N328" s="22"/>
    </row>
    <row r="329" spans="1:14">
      <c r="A329" s="165"/>
      <c r="B329" s="66"/>
      <c r="C329" s="66"/>
      <c r="D329" s="66"/>
      <c r="E329" s="66"/>
      <c r="F329" s="73" t="s">
        <v>178</v>
      </c>
      <c r="G329" s="66"/>
      <c r="H329" s="22"/>
      <c r="I329" s="22"/>
      <c r="J329" s="22"/>
      <c r="K329" s="22"/>
      <c r="L329" s="22"/>
      <c r="M329" s="22"/>
      <c r="N329" s="22"/>
    </row>
    <row r="330" spans="1:14" ht="64.5" customHeight="1">
      <c r="A330" s="165"/>
      <c r="B330" s="66">
        <v>2480</v>
      </c>
      <c r="C330" s="66" t="s">
        <v>9</v>
      </c>
      <c r="D330" s="66">
        <v>8</v>
      </c>
      <c r="E330" s="66">
        <v>0</v>
      </c>
      <c r="F330" s="73" t="s">
        <v>266</v>
      </c>
      <c r="G330" s="66"/>
      <c r="H330" s="22"/>
      <c r="I330" s="22"/>
      <c r="J330" s="22"/>
      <c r="K330" s="22"/>
      <c r="L330" s="22"/>
      <c r="M330" s="22"/>
      <c r="N330" s="22"/>
    </row>
    <row r="331" spans="1:14" ht="51.75" customHeight="1">
      <c r="A331" s="165"/>
      <c r="B331" s="66"/>
      <c r="C331" s="66"/>
      <c r="D331" s="66"/>
      <c r="E331" s="66"/>
      <c r="F331" s="73" t="s">
        <v>156</v>
      </c>
      <c r="G331" s="66"/>
      <c r="H331" s="22"/>
      <c r="I331" s="22"/>
      <c r="J331" s="22"/>
      <c r="K331" s="22"/>
      <c r="L331" s="22"/>
      <c r="M331" s="22"/>
      <c r="N331" s="22"/>
    </row>
    <row r="332" spans="1:14" ht="40.5">
      <c r="A332" s="165"/>
      <c r="B332" s="66">
        <v>2481</v>
      </c>
      <c r="C332" s="66" t="s">
        <v>9</v>
      </c>
      <c r="D332" s="66">
        <v>8</v>
      </c>
      <c r="E332" s="66">
        <v>1</v>
      </c>
      <c r="F332" s="73" t="s">
        <v>267</v>
      </c>
      <c r="G332" s="66"/>
      <c r="H332" s="22"/>
      <c r="I332" s="22"/>
      <c r="J332" s="22"/>
      <c r="K332" s="22"/>
      <c r="L332" s="22"/>
      <c r="M332" s="22"/>
      <c r="N332" s="22"/>
    </row>
    <row r="333" spans="1:14" ht="40.5">
      <c r="A333" s="165"/>
      <c r="B333" s="66"/>
      <c r="C333" s="66"/>
      <c r="D333" s="66"/>
      <c r="E333" s="66"/>
      <c r="F333" s="73" t="s">
        <v>177</v>
      </c>
      <c r="G333" s="66"/>
      <c r="H333" s="22"/>
      <c r="I333" s="22"/>
      <c r="J333" s="22"/>
      <c r="K333" s="22"/>
      <c r="L333" s="22"/>
      <c r="M333" s="22"/>
      <c r="N333" s="22"/>
    </row>
    <row r="334" spans="1:14" ht="67.5" customHeight="1">
      <c r="A334" s="165"/>
      <c r="B334" s="66"/>
      <c r="C334" s="66"/>
      <c r="D334" s="66"/>
      <c r="E334" s="66"/>
      <c r="F334" s="73" t="s">
        <v>178</v>
      </c>
      <c r="G334" s="66"/>
      <c r="H334" s="22"/>
      <c r="I334" s="22"/>
      <c r="J334" s="22"/>
      <c r="K334" s="22"/>
      <c r="L334" s="22"/>
      <c r="M334" s="22"/>
      <c r="N334" s="22"/>
    </row>
    <row r="335" spans="1:14" ht="54" customHeight="1">
      <c r="A335" s="165"/>
      <c r="B335" s="66"/>
      <c r="C335" s="66"/>
      <c r="D335" s="66"/>
      <c r="E335" s="66"/>
      <c r="F335" s="73" t="s">
        <v>178</v>
      </c>
      <c r="G335" s="66"/>
      <c r="H335" s="22"/>
      <c r="I335" s="22"/>
      <c r="J335" s="22"/>
      <c r="K335" s="22"/>
      <c r="L335" s="22"/>
      <c r="M335" s="22"/>
      <c r="N335" s="22"/>
    </row>
    <row r="336" spans="1:14" ht="40.5">
      <c r="A336" s="165"/>
      <c r="B336" s="66">
        <v>2482</v>
      </c>
      <c r="C336" s="66" t="s">
        <v>9</v>
      </c>
      <c r="D336" s="66">
        <v>8</v>
      </c>
      <c r="E336" s="66">
        <v>2</v>
      </c>
      <c r="F336" s="73" t="s">
        <v>268</v>
      </c>
      <c r="G336" s="66"/>
      <c r="H336" s="22"/>
      <c r="I336" s="22"/>
      <c r="J336" s="22"/>
      <c r="K336" s="22"/>
      <c r="L336" s="22"/>
      <c r="M336" s="22"/>
      <c r="N336" s="22"/>
    </row>
    <row r="337" spans="1:14" ht="40.5">
      <c r="A337" s="165"/>
      <c r="B337" s="66"/>
      <c r="C337" s="66"/>
      <c r="D337" s="66"/>
      <c r="E337" s="66"/>
      <c r="F337" s="73" t="s">
        <v>177</v>
      </c>
      <c r="G337" s="66"/>
      <c r="H337" s="22"/>
      <c r="I337" s="22"/>
      <c r="J337" s="22"/>
      <c r="K337" s="22"/>
      <c r="L337" s="22"/>
      <c r="M337" s="22"/>
      <c r="N337" s="22"/>
    </row>
    <row r="338" spans="1:14">
      <c r="A338" s="165"/>
      <c r="B338" s="66"/>
      <c r="C338" s="66"/>
      <c r="D338" s="66"/>
      <c r="E338" s="66"/>
      <c r="F338" s="73" t="s">
        <v>178</v>
      </c>
      <c r="G338" s="66"/>
      <c r="H338" s="22"/>
      <c r="I338" s="22"/>
      <c r="J338" s="22"/>
      <c r="K338" s="22"/>
      <c r="L338" s="22"/>
      <c r="M338" s="22"/>
      <c r="N338" s="22"/>
    </row>
    <row r="339" spans="1:14">
      <c r="A339" s="165"/>
      <c r="B339" s="66"/>
      <c r="C339" s="66"/>
      <c r="D339" s="66"/>
      <c r="E339" s="66"/>
      <c r="F339" s="73" t="s">
        <v>178</v>
      </c>
      <c r="G339" s="66"/>
      <c r="H339" s="22"/>
      <c r="I339" s="22"/>
      <c r="J339" s="22"/>
      <c r="K339" s="22"/>
      <c r="L339" s="22"/>
      <c r="M339" s="22"/>
      <c r="N339" s="22"/>
    </row>
    <row r="340" spans="1:14" ht="27">
      <c r="A340" s="165"/>
      <c r="B340" s="66">
        <v>2483</v>
      </c>
      <c r="C340" s="66" t="s">
        <v>9</v>
      </c>
      <c r="D340" s="66">
        <v>8</v>
      </c>
      <c r="E340" s="66">
        <v>3</v>
      </c>
      <c r="F340" s="73" t="s">
        <v>269</v>
      </c>
      <c r="G340" s="66"/>
      <c r="H340" s="22"/>
      <c r="I340" s="22"/>
      <c r="J340" s="22"/>
      <c r="K340" s="22"/>
      <c r="L340" s="22"/>
      <c r="M340" s="22"/>
      <c r="N340" s="22"/>
    </row>
    <row r="341" spans="1:14" ht="40.5">
      <c r="A341" s="165"/>
      <c r="B341" s="66"/>
      <c r="C341" s="66"/>
      <c r="D341" s="66"/>
      <c r="E341" s="66"/>
      <c r="F341" s="73" t="s">
        <v>177</v>
      </c>
      <c r="G341" s="66"/>
      <c r="H341" s="22"/>
      <c r="I341" s="22"/>
      <c r="J341" s="22"/>
      <c r="K341" s="22"/>
      <c r="L341" s="22"/>
      <c r="M341" s="22"/>
      <c r="N341" s="22"/>
    </row>
    <row r="342" spans="1:14">
      <c r="A342" s="165"/>
      <c r="B342" s="66"/>
      <c r="C342" s="66"/>
      <c r="D342" s="66"/>
      <c r="E342" s="66"/>
      <c r="F342" s="73" t="s">
        <v>178</v>
      </c>
      <c r="G342" s="66"/>
      <c r="H342" s="22"/>
      <c r="I342" s="22"/>
      <c r="J342" s="22"/>
      <c r="K342" s="22"/>
      <c r="L342" s="22"/>
      <c r="M342" s="22"/>
      <c r="N342" s="22"/>
    </row>
    <row r="343" spans="1:14" ht="56.25" customHeight="1">
      <c r="A343" s="165"/>
      <c r="B343" s="66"/>
      <c r="C343" s="66"/>
      <c r="D343" s="66"/>
      <c r="E343" s="66"/>
      <c r="F343" s="73" t="s">
        <v>178</v>
      </c>
      <c r="G343" s="66"/>
      <c r="H343" s="22"/>
      <c r="I343" s="22"/>
      <c r="J343" s="22"/>
      <c r="K343" s="22"/>
      <c r="L343" s="22"/>
      <c r="M343" s="22"/>
      <c r="N343" s="22"/>
    </row>
    <row r="344" spans="1:14" ht="40.5">
      <c r="A344" s="165"/>
      <c r="B344" s="66">
        <v>2484</v>
      </c>
      <c r="C344" s="66" t="s">
        <v>9</v>
      </c>
      <c r="D344" s="66">
        <v>8</v>
      </c>
      <c r="E344" s="66">
        <v>4</v>
      </c>
      <c r="F344" s="73" t="s">
        <v>270</v>
      </c>
      <c r="G344" s="66"/>
      <c r="H344" s="22"/>
      <c r="I344" s="22"/>
      <c r="J344" s="22"/>
      <c r="K344" s="22"/>
      <c r="L344" s="22"/>
      <c r="M344" s="22"/>
      <c r="N344" s="22"/>
    </row>
    <row r="345" spans="1:14" ht="40.5">
      <c r="A345" s="165"/>
      <c r="B345" s="66"/>
      <c r="C345" s="66"/>
      <c r="D345" s="66"/>
      <c r="E345" s="66"/>
      <c r="F345" s="73" t="s">
        <v>177</v>
      </c>
      <c r="G345" s="66"/>
      <c r="H345" s="22"/>
      <c r="I345" s="22"/>
      <c r="J345" s="22"/>
      <c r="K345" s="22"/>
      <c r="L345" s="22"/>
      <c r="M345" s="22"/>
      <c r="N345" s="22"/>
    </row>
    <row r="346" spans="1:14" ht="44.25" customHeight="1">
      <c r="A346" s="165"/>
      <c r="B346" s="66"/>
      <c r="C346" s="66"/>
      <c r="D346" s="66"/>
      <c r="E346" s="66"/>
      <c r="F346" s="73" t="s">
        <v>178</v>
      </c>
      <c r="G346" s="66"/>
      <c r="H346" s="22"/>
      <c r="I346" s="22"/>
      <c r="J346" s="22"/>
      <c r="K346" s="22"/>
      <c r="L346" s="22"/>
      <c r="M346" s="22"/>
      <c r="N346" s="22"/>
    </row>
    <row r="347" spans="1:14">
      <c r="A347" s="165"/>
      <c r="B347" s="66"/>
      <c r="C347" s="66"/>
      <c r="D347" s="66"/>
      <c r="E347" s="66"/>
      <c r="F347" s="73" t="s">
        <v>178</v>
      </c>
      <c r="G347" s="66"/>
      <c r="H347" s="22"/>
      <c r="I347" s="22"/>
      <c r="J347" s="22"/>
      <c r="K347" s="22"/>
      <c r="L347" s="22"/>
      <c r="M347" s="22"/>
      <c r="N347" s="22"/>
    </row>
    <row r="348" spans="1:14" ht="46.5" customHeight="1">
      <c r="A348" s="165"/>
      <c r="B348" s="66">
        <v>2490</v>
      </c>
      <c r="C348" s="66" t="s">
        <v>9</v>
      </c>
      <c r="D348" s="66">
        <v>9</v>
      </c>
      <c r="E348" s="66">
        <v>0</v>
      </c>
      <c r="F348" s="73" t="s">
        <v>274</v>
      </c>
      <c r="G348" s="66"/>
      <c r="H348" s="22">
        <f t="shared" ref="H348:N348" si="43">SUM(H350)</f>
        <v>-850000</v>
      </c>
      <c r="I348" s="22">
        <f t="shared" si="43"/>
        <v>0</v>
      </c>
      <c r="J348" s="22">
        <f t="shared" si="43"/>
        <v>-850000</v>
      </c>
      <c r="K348" s="22">
        <f t="shared" si="43"/>
        <v>-202380.95238095237</v>
      </c>
      <c r="L348" s="22">
        <f t="shared" si="43"/>
        <v>-350403.89913374081</v>
      </c>
      <c r="M348" s="22">
        <f t="shared" si="43"/>
        <v>-581189.12103174627</v>
      </c>
      <c r="N348" s="22">
        <f t="shared" si="43"/>
        <v>-850000</v>
      </c>
    </row>
    <row r="349" spans="1:14" ht="48.75" customHeight="1">
      <c r="A349" s="165"/>
      <c r="B349" s="66"/>
      <c r="C349" s="66"/>
      <c r="D349" s="66"/>
      <c r="E349" s="66"/>
      <c r="F349" s="73" t="s">
        <v>156</v>
      </c>
      <c r="G349" s="66"/>
      <c r="H349" s="22"/>
      <c r="I349" s="22"/>
      <c r="J349" s="22"/>
      <c r="K349" s="22"/>
      <c r="L349" s="22"/>
      <c r="M349" s="22"/>
      <c r="N349" s="22"/>
    </row>
    <row r="350" spans="1:14" ht="27">
      <c r="A350" s="165"/>
      <c r="B350" s="66">
        <v>2491</v>
      </c>
      <c r="C350" s="66" t="s">
        <v>9</v>
      </c>
      <c r="D350" s="66">
        <v>9</v>
      </c>
      <c r="E350" s="66">
        <v>1</v>
      </c>
      <c r="F350" s="73" t="s">
        <v>274</v>
      </c>
      <c r="G350" s="66"/>
      <c r="H350" s="22">
        <f>I350+J350</f>
        <v>-850000</v>
      </c>
      <c r="I350" s="22"/>
      <c r="J350" s="22">
        <f>+'3.Tntesagitakan tsaxs'!F213</f>
        <v>-850000</v>
      </c>
      <c r="K350" s="22">
        <f>+'3.Tntesagitakan tsaxs'!G213</f>
        <v>-202380.95238095237</v>
      </c>
      <c r="L350" s="22">
        <f>+'3.Tntesagitakan tsaxs'!H213</f>
        <v>-350403.89913374081</v>
      </c>
      <c r="M350" s="22">
        <f>+'3.Tntesagitakan tsaxs'!I213</f>
        <v>-581189.12103174627</v>
      </c>
      <c r="N350" s="22">
        <f>+'3.Tntesagitakan tsaxs'!J213</f>
        <v>-850000</v>
      </c>
    </row>
    <row r="351" spans="1:14" ht="40.5">
      <c r="A351" s="165"/>
      <c r="B351" s="66"/>
      <c r="C351" s="66"/>
      <c r="D351" s="66"/>
      <c r="E351" s="66"/>
      <c r="F351" s="73" t="s">
        <v>177</v>
      </c>
      <c r="G351" s="66"/>
      <c r="H351" s="22"/>
      <c r="I351" s="22"/>
      <c r="J351" s="22"/>
      <c r="K351" s="22"/>
      <c r="L351" s="22"/>
      <c r="M351" s="22"/>
      <c r="N351" s="22"/>
    </row>
    <row r="352" spans="1:14">
      <c r="A352" s="165"/>
      <c r="B352" s="66"/>
      <c r="C352" s="66"/>
      <c r="D352" s="66"/>
      <c r="E352" s="66"/>
      <c r="F352" s="73" t="s">
        <v>178</v>
      </c>
      <c r="G352" s="66"/>
      <c r="H352" s="22"/>
      <c r="I352" s="22"/>
      <c r="J352" s="22"/>
      <c r="K352" s="22"/>
      <c r="L352" s="22"/>
      <c r="M352" s="22"/>
      <c r="N352" s="22"/>
    </row>
    <row r="353" spans="1:18">
      <c r="A353" s="165"/>
      <c r="B353" s="66"/>
      <c r="C353" s="66"/>
      <c r="D353" s="66"/>
      <c r="E353" s="66"/>
      <c r="F353" s="73" t="s">
        <v>178</v>
      </c>
      <c r="G353" s="66"/>
      <c r="H353" s="22"/>
      <c r="I353" s="22"/>
      <c r="J353" s="22"/>
      <c r="K353" s="22"/>
      <c r="L353" s="22"/>
      <c r="M353" s="22"/>
      <c r="N353" s="22"/>
    </row>
    <row r="354" spans="1:18" ht="40.5">
      <c r="A354" s="165"/>
      <c r="B354" s="66">
        <v>2500</v>
      </c>
      <c r="C354" s="66" t="s">
        <v>10</v>
      </c>
      <c r="D354" s="66">
        <v>0</v>
      </c>
      <c r="E354" s="66">
        <v>0</v>
      </c>
      <c r="F354" s="73" t="s">
        <v>275</v>
      </c>
      <c r="G354" s="66"/>
      <c r="H354" s="22">
        <f t="shared" ref="H354:N354" si="44">H356+H372+H378+H384+H390+H396</f>
        <v>1106415.352</v>
      </c>
      <c r="I354" s="22">
        <f t="shared" si="44"/>
        <v>970259.80299999996</v>
      </c>
      <c r="J354" s="22">
        <f t="shared" si="44"/>
        <v>136155.549</v>
      </c>
      <c r="K354" s="22">
        <f t="shared" si="44"/>
        <v>340175.39771390485</v>
      </c>
      <c r="L354" s="22">
        <f t="shared" si="44"/>
        <v>583168.45752380998</v>
      </c>
      <c r="M354" s="22">
        <f t="shared" si="44"/>
        <v>840116.40455080441</v>
      </c>
      <c r="N354" s="22">
        <f t="shared" si="44"/>
        <v>1106415.352</v>
      </c>
    </row>
    <row r="355" spans="1:18">
      <c r="A355" s="165"/>
      <c r="B355" s="66"/>
      <c r="C355" s="66"/>
      <c r="D355" s="66"/>
      <c r="E355" s="66"/>
      <c r="F355" s="73" t="s">
        <v>154</v>
      </c>
      <c r="G355" s="66"/>
      <c r="H355" s="22"/>
      <c r="I355" s="22"/>
      <c r="J355" s="22"/>
      <c r="K355" s="22"/>
      <c r="L355" s="22"/>
      <c r="M355" s="22"/>
      <c r="N355" s="22"/>
    </row>
    <row r="356" spans="1:18">
      <c r="A356" s="165"/>
      <c r="B356" s="66">
        <v>2510</v>
      </c>
      <c r="C356" s="66" t="s">
        <v>10</v>
      </c>
      <c r="D356" s="66">
        <v>1</v>
      </c>
      <c r="E356" s="66">
        <v>0</v>
      </c>
      <c r="F356" s="73" t="s">
        <v>276</v>
      </c>
      <c r="G356" s="66"/>
      <c r="H356" s="22">
        <f t="shared" ref="H356:N356" si="45">H358</f>
        <v>782484.15999999992</v>
      </c>
      <c r="I356" s="22">
        <f t="shared" si="45"/>
        <v>780484.15999999992</v>
      </c>
      <c r="J356" s="22">
        <f t="shared" si="45"/>
        <v>2000</v>
      </c>
      <c r="K356" s="22">
        <f t="shared" si="45"/>
        <v>186408.68095238105</v>
      </c>
      <c r="L356" s="22">
        <f t="shared" si="45"/>
        <v>371220.28158730204</v>
      </c>
      <c r="M356" s="22">
        <f t="shared" si="45"/>
        <v>571180.42753493134</v>
      </c>
      <c r="N356" s="22">
        <f t="shared" si="45"/>
        <v>782484.15999999992</v>
      </c>
    </row>
    <row r="357" spans="1:18" ht="50.25" customHeight="1">
      <c r="A357" s="165"/>
      <c r="B357" s="66"/>
      <c r="C357" s="66"/>
      <c r="D357" s="66"/>
      <c r="E357" s="66"/>
      <c r="F357" s="73" t="s">
        <v>156</v>
      </c>
      <c r="G357" s="66"/>
      <c r="H357" s="22"/>
      <c r="I357" s="22"/>
      <c r="J357" s="22"/>
      <c r="K357" s="22"/>
      <c r="L357" s="22"/>
      <c r="M357" s="22"/>
      <c r="N357" s="22"/>
    </row>
    <row r="358" spans="1:18" ht="27" customHeight="1">
      <c r="A358" s="165"/>
      <c r="B358" s="66">
        <v>2511</v>
      </c>
      <c r="C358" s="66" t="s">
        <v>10</v>
      </c>
      <c r="D358" s="66">
        <v>1</v>
      </c>
      <c r="E358" s="66">
        <v>1</v>
      </c>
      <c r="F358" s="73" t="s">
        <v>276</v>
      </c>
      <c r="G358" s="66"/>
      <c r="H358" s="22">
        <f>SUM(H360:H371)</f>
        <v>782484.15999999992</v>
      </c>
      <c r="I358" s="22">
        <f t="shared" ref="I358:N358" si="46">SUM(I360:I371)</f>
        <v>780484.15999999992</v>
      </c>
      <c r="J358" s="22">
        <f t="shared" si="46"/>
        <v>2000</v>
      </c>
      <c r="K358" s="22">
        <f t="shared" si="46"/>
        <v>186408.68095238105</v>
      </c>
      <c r="L358" s="22">
        <f t="shared" si="46"/>
        <v>371220.28158730204</v>
      </c>
      <c r="M358" s="22">
        <f t="shared" si="46"/>
        <v>571180.42753493134</v>
      </c>
      <c r="N358" s="22">
        <f t="shared" si="46"/>
        <v>782484.15999999992</v>
      </c>
    </row>
    <row r="359" spans="1:18" ht="40.5">
      <c r="A359" s="165"/>
      <c r="B359" s="66"/>
      <c r="C359" s="66"/>
      <c r="D359" s="66"/>
      <c r="E359" s="66"/>
      <c r="F359" s="73" t="s">
        <v>177</v>
      </c>
      <c r="G359" s="66"/>
      <c r="H359" s="22"/>
      <c r="I359" s="22"/>
      <c r="J359" s="22"/>
      <c r="K359" s="22"/>
      <c r="L359" s="22"/>
      <c r="M359" s="22"/>
      <c r="N359" s="22"/>
    </row>
    <row r="360" spans="1:18" ht="27">
      <c r="A360" s="165"/>
      <c r="B360" s="66"/>
      <c r="C360" s="66"/>
      <c r="D360" s="66"/>
      <c r="E360" s="66"/>
      <c r="F360" s="73" t="s">
        <v>158</v>
      </c>
      <c r="G360" s="66" t="s">
        <v>20</v>
      </c>
      <c r="H360" s="22">
        <f t="shared" ref="H360:H363" si="47">SUM(I360:J360)</f>
        <v>657292.96</v>
      </c>
      <c r="I360" s="22">
        <v>657292.96</v>
      </c>
      <c r="J360" s="22"/>
      <c r="K360" s="156">
        <v>150069.7904761906</v>
      </c>
      <c r="L360" s="156">
        <v>302931.94587301626</v>
      </c>
      <c r="M360" s="156">
        <v>468869.56324921694</v>
      </c>
      <c r="N360" s="156">
        <f t="shared" ref="N360:N371" si="48">+H360</f>
        <v>657292.96</v>
      </c>
    </row>
    <row r="361" spans="1:18" ht="18" customHeight="1">
      <c r="A361" s="165"/>
      <c r="B361" s="66"/>
      <c r="C361" s="66"/>
      <c r="D361" s="66"/>
      <c r="E361" s="66"/>
      <c r="F361" s="73" t="s">
        <v>600</v>
      </c>
      <c r="G361" s="66" t="s">
        <v>30</v>
      </c>
      <c r="H361" s="22">
        <f t="shared" si="47"/>
        <v>0</v>
      </c>
      <c r="I361" s="22"/>
      <c r="J361" s="22"/>
      <c r="K361" s="156">
        <v>0</v>
      </c>
      <c r="L361" s="156">
        <v>0</v>
      </c>
      <c r="M361" s="156">
        <v>0</v>
      </c>
      <c r="N361" s="156">
        <f t="shared" si="48"/>
        <v>0</v>
      </c>
    </row>
    <row r="362" spans="1:18" ht="18" customHeight="1">
      <c r="A362" s="165"/>
      <c r="B362" s="66"/>
      <c r="C362" s="66"/>
      <c r="D362" s="66"/>
      <c r="E362" s="66"/>
      <c r="F362" s="73" t="s">
        <v>547</v>
      </c>
      <c r="G362" s="66" t="s">
        <v>40</v>
      </c>
      <c r="H362" s="22">
        <f t="shared" si="47"/>
        <v>13039.2</v>
      </c>
      <c r="I362" s="22">
        <v>13039.2</v>
      </c>
      <c r="J362" s="22"/>
      <c r="K362" s="156">
        <v>3104.5714285714289</v>
      </c>
      <c r="L362" s="156">
        <v>6260.885714285715</v>
      </c>
      <c r="M362" s="156">
        <v>9675.914285714287</v>
      </c>
      <c r="N362" s="156">
        <f t="shared" si="48"/>
        <v>13039.2</v>
      </c>
      <c r="P362" s="165"/>
      <c r="Q362" s="165"/>
      <c r="R362" s="165"/>
    </row>
    <row r="363" spans="1:18" ht="18" customHeight="1">
      <c r="A363" s="165"/>
      <c r="B363" s="66"/>
      <c r="C363" s="66"/>
      <c r="D363" s="66"/>
      <c r="E363" s="66"/>
      <c r="F363" s="73" t="s">
        <v>478</v>
      </c>
      <c r="G363" s="66" t="s">
        <v>82</v>
      </c>
      <c r="H363" s="22">
        <f t="shared" si="47"/>
        <v>1700</v>
      </c>
      <c r="I363" s="22">
        <v>1700</v>
      </c>
      <c r="J363" s="22"/>
      <c r="K363" s="156">
        <v>404.76190476190476</v>
      </c>
      <c r="L363" s="156">
        <v>816.26984126984132</v>
      </c>
      <c r="M363" s="156">
        <v>1261.5079365079366</v>
      </c>
      <c r="N363" s="156">
        <f t="shared" si="48"/>
        <v>1700</v>
      </c>
    </row>
    <row r="364" spans="1:18" ht="18" customHeight="1">
      <c r="A364" s="165"/>
      <c r="B364" s="66"/>
      <c r="C364" s="66"/>
      <c r="D364" s="66"/>
      <c r="E364" s="66"/>
      <c r="F364" s="73" t="s">
        <v>750</v>
      </c>
      <c r="G364" s="66" t="s">
        <v>29</v>
      </c>
      <c r="H364" s="22">
        <f t="shared" ref="H364:H371" si="49">SUM(I364:J364)</f>
        <v>0</v>
      </c>
      <c r="I364" s="22"/>
      <c r="J364" s="22"/>
      <c r="K364" s="156">
        <v>0</v>
      </c>
      <c r="L364" s="156">
        <v>0</v>
      </c>
      <c r="M364" s="156">
        <v>0</v>
      </c>
      <c r="N364" s="156">
        <f t="shared" si="48"/>
        <v>0</v>
      </c>
    </row>
    <row r="365" spans="1:18" ht="18" customHeight="1">
      <c r="A365" s="165"/>
      <c r="B365" s="66"/>
      <c r="C365" s="66"/>
      <c r="D365" s="66"/>
      <c r="E365" s="66"/>
      <c r="F365" s="73" t="s">
        <v>541</v>
      </c>
      <c r="G365" s="66" t="s">
        <v>41</v>
      </c>
      <c r="H365" s="22">
        <f t="shared" si="49"/>
        <v>351</v>
      </c>
      <c r="I365" s="22">
        <v>351</v>
      </c>
      <c r="J365" s="22"/>
      <c r="K365" s="156">
        <v>83.571428571428569</v>
      </c>
      <c r="L365" s="156">
        <v>168.53571428571428</v>
      </c>
      <c r="M365" s="156">
        <v>260.46428571428572</v>
      </c>
      <c r="N365" s="156">
        <f t="shared" si="48"/>
        <v>351</v>
      </c>
    </row>
    <row r="366" spans="1:18" ht="27">
      <c r="A366" s="165"/>
      <c r="B366" s="66"/>
      <c r="C366" s="66"/>
      <c r="D366" s="66"/>
      <c r="E366" s="66"/>
      <c r="F366" s="73" t="s">
        <v>411</v>
      </c>
      <c r="G366" s="66">
        <v>4252</v>
      </c>
      <c r="H366" s="22">
        <f t="shared" si="49"/>
        <v>1287</v>
      </c>
      <c r="I366" s="22">
        <v>1287</v>
      </c>
      <c r="J366" s="22"/>
      <c r="K366" s="156">
        <v>782.61904761904771</v>
      </c>
      <c r="L366" s="156">
        <v>1287</v>
      </c>
      <c r="M366" s="156">
        <v>1287</v>
      </c>
      <c r="N366" s="156">
        <f t="shared" si="48"/>
        <v>1287</v>
      </c>
    </row>
    <row r="367" spans="1:18">
      <c r="A367" s="165"/>
      <c r="B367" s="66"/>
      <c r="C367" s="66"/>
      <c r="D367" s="66"/>
      <c r="E367" s="66"/>
      <c r="F367" s="229" t="s">
        <v>413</v>
      </c>
      <c r="G367" s="66" t="s">
        <v>44</v>
      </c>
      <c r="H367" s="22">
        <f t="shared" si="49"/>
        <v>560</v>
      </c>
      <c r="I367" s="22">
        <v>560</v>
      </c>
      <c r="J367" s="22"/>
      <c r="K367" s="156">
        <v>133.33333333333334</v>
      </c>
      <c r="L367" s="156">
        <v>268.88888888888891</v>
      </c>
      <c r="M367" s="156">
        <v>415.5555555555556</v>
      </c>
      <c r="N367" s="156">
        <f t="shared" si="48"/>
        <v>560</v>
      </c>
    </row>
    <row r="368" spans="1:18" ht="15.75" customHeight="1">
      <c r="A368" s="165"/>
      <c r="B368" s="66"/>
      <c r="C368" s="66"/>
      <c r="D368" s="66"/>
      <c r="E368" s="66"/>
      <c r="F368" s="73" t="s">
        <v>574</v>
      </c>
      <c r="G368" s="66">
        <v>4264</v>
      </c>
      <c r="H368" s="22">
        <f t="shared" si="49"/>
        <v>96137.3</v>
      </c>
      <c r="I368" s="22">
        <f>91627.3+4510</f>
        <v>96137.3</v>
      </c>
      <c r="J368" s="22"/>
      <c r="K368" s="156">
        <v>28828.404761904763</v>
      </c>
      <c r="L368" s="156">
        <v>53552.116269841274</v>
      </c>
      <c r="M368" s="156">
        <v>80302.361507936512</v>
      </c>
      <c r="N368" s="156">
        <f t="shared" si="48"/>
        <v>96137.3</v>
      </c>
    </row>
    <row r="369" spans="1:14">
      <c r="A369" s="165"/>
      <c r="B369" s="66"/>
      <c r="C369" s="66"/>
      <c r="D369" s="66"/>
      <c r="E369" s="66"/>
      <c r="F369" s="73" t="s">
        <v>591</v>
      </c>
      <c r="G369" s="66" t="s">
        <v>51</v>
      </c>
      <c r="H369" s="22">
        <f t="shared" si="49"/>
        <v>10116.700000000001</v>
      </c>
      <c r="I369" s="22">
        <f>10000+116.7</f>
        <v>10116.700000000001</v>
      </c>
      <c r="J369" s="22"/>
      <c r="K369" s="156">
        <v>2525.4380952380952</v>
      </c>
      <c r="L369" s="156">
        <v>4974.3218253968262</v>
      </c>
      <c r="M369" s="156">
        <v>7623.9337301587311</v>
      </c>
      <c r="N369" s="156">
        <f t="shared" si="48"/>
        <v>10116.700000000001</v>
      </c>
    </row>
    <row r="370" spans="1:14">
      <c r="A370" s="165"/>
      <c r="B370" s="66"/>
      <c r="C370" s="66"/>
      <c r="D370" s="66"/>
      <c r="E370" s="66"/>
      <c r="F370" s="73" t="s">
        <v>175</v>
      </c>
      <c r="G370" s="66">
        <v>5122</v>
      </c>
      <c r="H370" s="22">
        <f t="shared" si="49"/>
        <v>1000</v>
      </c>
      <c r="I370" s="22"/>
      <c r="J370" s="22">
        <v>1000</v>
      </c>
      <c r="K370" s="156">
        <v>238.0952380952381</v>
      </c>
      <c r="L370" s="156">
        <v>480.15873015873018</v>
      </c>
      <c r="M370" s="156">
        <v>742.06349206349205</v>
      </c>
      <c r="N370" s="156">
        <f t="shared" si="48"/>
        <v>1000</v>
      </c>
    </row>
    <row r="371" spans="1:14">
      <c r="A371" s="165"/>
      <c r="B371" s="66"/>
      <c r="C371" s="66"/>
      <c r="D371" s="66"/>
      <c r="E371" s="66"/>
      <c r="F371" s="73" t="s">
        <v>549</v>
      </c>
      <c r="G371" s="66">
        <v>5129</v>
      </c>
      <c r="H371" s="22">
        <f t="shared" si="49"/>
        <v>1000</v>
      </c>
      <c r="I371" s="22"/>
      <c r="J371" s="22">
        <v>1000</v>
      </c>
      <c r="K371" s="156">
        <v>238.0952380952381</v>
      </c>
      <c r="L371" s="156">
        <v>480.15873015873018</v>
      </c>
      <c r="M371" s="156">
        <v>742.06349206349205</v>
      </c>
      <c r="N371" s="156">
        <f t="shared" si="48"/>
        <v>1000</v>
      </c>
    </row>
    <row r="372" spans="1:14">
      <c r="A372" s="165"/>
      <c r="B372" s="66">
        <v>2520</v>
      </c>
      <c r="C372" s="66" t="s">
        <v>10</v>
      </c>
      <c r="D372" s="66">
        <v>2</v>
      </c>
      <c r="E372" s="66">
        <v>0</v>
      </c>
      <c r="F372" s="73" t="s">
        <v>277</v>
      </c>
      <c r="G372" s="66"/>
      <c r="H372" s="22"/>
      <c r="I372" s="22"/>
      <c r="J372" s="22"/>
      <c r="K372" s="22"/>
      <c r="L372" s="22"/>
      <c r="M372" s="22"/>
      <c r="N372" s="22"/>
    </row>
    <row r="373" spans="1:14" ht="56.25" customHeight="1">
      <c r="A373" s="165"/>
      <c r="B373" s="66"/>
      <c r="C373" s="66"/>
      <c r="D373" s="66"/>
      <c r="E373" s="66"/>
      <c r="F373" s="73" t="s">
        <v>156</v>
      </c>
      <c r="G373" s="66"/>
      <c r="H373" s="22"/>
      <c r="I373" s="22"/>
      <c r="J373" s="22"/>
      <c r="K373" s="22"/>
      <c r="L373" s="22"/>
      <c r="M373" s="22"/>
      <c r="N373" s="22"/>
    </row>
    <row r="374" spans="1:14">
      <c r="A374" s="165"/>
      <c r="B374" s="66">
        <v>2521</v>
      </c>
      <c r="C374" s="66" t="s">
        <v>10</v>
      </c>
      <c r="D374" s="66">
        <v>2</v>
      </c>
      <c r="E374" s="66">
        <v>1</v>
      </c>
      <c r="F374" s="73" t="s">
        <v>278</v>
      </c>
      <c r="G374" s="66"/>
      <c r="H374" s="22"/>
      <c r="I374" s="22"/>
      <c r="J374" s="22"/>
      <c r="K374" s="22"/>
      <c r="L374" s="22"/>
      <c r="M374" s="22"/>
      <c r="N374" s="22"/>
    </row>
    <row r="375" spans="1:14" ht="40.5">
      <c r="A375" s="165"/>
      <c r="B375" s="66"/>
      <c r="C375" s="66"/>
      <c r="D375" s="66"/>
      <c r="E375" s="66"/>
      <c r="F375" s="73" t="s">
        <v>177</v>
      </c>
      <c r="G375" s="66"/>
      <c r="H375" s="22"/>
      <c r="I375" s="22"/>
      <c r="J375" s="22"/>
      <c r="K375" s="22"/>
      <c r="L375" s="22"/>
      <c r="M375" s="22"/>
      <c r="N375" s="22"/>
    </row>
    <row r="376" spans="1:14" ht="22.5" customHeight="1">
      <c r="A376" s="165"/>
      <c r="B376" s="66"/>
      <c r="C376" s="66"/>
      <c r="D376" s="66"/>
      <c r="E376" s="66"/>
      <c r="F376" s="73" t="s">
        <v>178</v>
      </c>
      <c r="G376" s="66"/>
      <c r="H376" s="22"/>
      <c r="I376" s="22"/>
      <c r="J376" s="22"/>
      <c r="K376" s="22"/>
      <c r="L376" s="22"/>
      <c r="M376" s="22"/>
      <c r="N376" s="22"/>
    </row>
    <row r="377" spans="1:14">
      <c r="A377" s="165"/>
      <c r="B377" s="66"/>
      <c r="C377" s="66"/>
      <c r="D377" s="66"/>
      <c r="E377" s="66"/>
      <c r="F377" s="73" t="s">
        <v>178</v>
      </c>
      <c r="G377" s="66"/>
      <c r="H377" s="22"/>
      <c r="I377" s="22"/>
      <c r="J377" s="22"/>
      <c r="K377" s="22"/>
      <c r="L377" s="22"/>
      <c r="M377" s="22"/>
      <c r="N377" s="22"/>
    </row>
    <row r="378" spans="1:14" ht="21.75" customHeight="1">
      <c r="A378" s="165"/>
      <c r="B378" s="66">
        <v>2530</v>
      </c>
      <c r="C378" s="66" t="s">
        <v>10</v>
      </c>
      <c r="D378" s="66">
        <v>3</v>
      </c>
      <c r="E378" s="66">
        <v>0</v>
      </c>
      <c r="F378" s="73" t="s">
        <v>279</v>
      </c>
      <c r="G378" s="66"/>
      <c r="H378" s="22"/>
      <c r="I378" s="22"/>
      <c r="J378" s="22"/>
      <c r="K378" s="22"/>
      <c r="L378" s="22"/>
      <c r="M378" s="22"/>
      <c r="N378" s="22"/>
    </row>
    <row r="379" spans="1:14" ht="54.75" customHeight="1">
      <c r="A379" s="165"/>
      <c r="B379" s="66"/>
      <c r="C379" s="66"/>
      <c r="D379" s="66"/>
      <c r="E379" s="66"/>
      <c r="F379" s="73" t="s">
        <v>156</v>
      </c>
      <c r="G379" s="66"/>
      <c r="H379" s="22"/>
      <c r="I379" s="22"/>
      <c r="J379" s="22"/>
      <c r="K379" s="22"/>
      <c r="L379" s="22"/>
      <c r="M379" s="22"/>
      <c r="N379" s="22"/>
    </row>
    <row r="380" spans="1:14">
      <c r="A380" s="165"/>
      <c r="B380" s="66">
        <v>2531</v>
      </c>
      <c r="C380" s="66" t="s">
        <v>10</v>
      </c>
      <c r="D380" s="66">
        <v>3</v>
      </c>
      <c r="E380" s="66">
        <v>1</v>
      </c>
      <c r="F380" s="73" t="s">
        <v>279</v>
      </c>
      <c r="G380" s="66"/>
      <c r="H380" s="22"/>
      <c r="I380" s="22"/>
      <c r="J380" s="22"/>
      <c r="K380" s="22"/>
      <c r="L380" s="22"/>
      <c r="M380" s="22"/>
      <c r="N380" s="22"/>
    </row>
    <row r="381" spans="1:14" ht="40.5">
      <c r="A381" s="165"/>
      <c r="B381" s="66"/>
      <c r="C381" s="66"/>
      <c r="D381" s="66"/>
      <c r="E381" s="66"/>
      <c r="F381" s="73" t="s">
        <v>177</v>
      </c>
      <c r="G381" s="66"/>
      <c r="H381" s="22"/>
      <c r="I381" s="22"/>
      <c r="J381" s="22"/>
      <c r="K381" s="22"/>
      <c r="L381" s="22"/>
      <c r="M381" s="22"/>
      <c r="N381" s="22"/>
    </row>
    <row r="382" spans="1:14" ht="38.25" customHeight="1">
      <c r="A382" s="165"/>
      <c r="B382" s="66"/>
      <c r="C382" s="66"/>
      <c r="D382" s="66"/>
      <c r="E382" s="66"/>
      <c r="F382" s="73" t="s">
        <v>178</v>
      </c>
      <c r="G382" s="66"/>
      <c r="H382" s="22"/>
      <c r="I382" s="22"/>
      <c r="J382" s="22"/>
      <c r="K382" s="22"/>
      <c r="L382" s="22"/>
      <c r="M382" s="22"/>
      <c r="N382" s="22"/>
    </row>
    <row r="383" spans="1:14">
      <c r="A383" s="165"/>
      <c r="B383" s="66"/>
      <c r="C383" s="66"/>
      <c r="D383" s="66"/>
      <c r="E383" s="66"/>
      <c r="F383" s="73" t="s">
        <v>178</v>
      </c>
      <c r="G383" s="66"/>
      <c r="H383" s="22"/>
      <c r="I383" s="22"/>
      <c r="J383" s="22"/>
      <c r="K383" s="22"/>
      <c r="L383" s="22"/>
      <c r="M383" s="22"/>
      <c r="N383" s="22"/>
    </row>
    <row r="384" spans="1:14" ht="38.25" customHeight="1">
      <c r="A384" s="165"/>
      <c r="B384" s="66">
        <v>2540</v>
      </c>
      <c r="C384" s="66" t="s">
        <v>10</v>
      </c>
      <c r="D384" s="66">
        <v>4</v>
      </c>
      <c r="E384" s="66">
        <v>0</v>
      </c>
      <c r="F384" s="73" t="s">
        <v>280</v>
      </c>
      <c r="G384" s="66"/>
      <c r="H384" s="22"/>
      <c r="I384" s="22"/>
      <c r="J384" s="22"/>
      <c r="K384" s="22"/>
      <c r="L384" s="22"/>
      <c r="M384" s="22"/>
      <c r="N384" s="22"/>
    </row>
    <row r="385" spans="1:14" ht="50.25" customHeight="1">
      <c r="A385" s="165"/>
      <c r="B385" s="66"/>
      <c r="C385" s="66"/>
      <c r="D385" s="66"/>
      <c r="E385" s="66"/>
      <c r="F385" s="73" t="s">
        <v>156</v>
      </c>
      <c r="G385" s="66"/>
      <c r="H385" s="22"/>
      <c r="I385" s="22"/>
      <c r="J385" s="22"/>
      <c r="K385" s="22"/>
      <c r="L385" s="22"/>
      <c r="M385" s="22"/>
      <c r="N385" s="22"/>
    </row>
    <row r="386" spans="1:14" ht="27">
      <c r="A386" s="165"/>
      <c r="B386" s="66">
        <v>2541</v>
      </c>
      <c r="C386" s="66" t="s">
        <v>10</v>
      </c>
      <c r="D386" s="66">
        <v>4</v>
      </c>
      <c r="E386" s="66">
        <v>1</v>
      </c>
      <c r="F386" s="73" t="s">
        <v>280</v>
      </c>
      <c r="G386" s="66"/>
      <c r="H386" s="22"/>
      <c r="I386" s="22"/>
      <c r="J386" s="22"/>
      <c r="K386" s="22"/>
      <c r="L386" s="22"/>
      <c r="M386" s="22"/>
      <c r="N386" s="22"/>
    </row>
    <row r="387" spans="1:14" ht="40.5">
      <c r="A387" s="165"/>
      <c r="B387" s="66"/>
      <c r="C387" s="66"/>
      <c r="D387" s="66"/>
      <c r="E387" s="66"/>
      <c r="F387" s="73" t="s">
        <v>177</v>
      </c>
      <c r="G387" s="66"/>
      <c r="H387" s="22"/>
      <c r="I387" s="22"/>
      <c r="J387" s="22"/>
      <c r="K387" s="22"/>
      <c r="L387" s="22"/>
      <c r="M387" s="22"/>
      <c r="N387" s="22"/>
    </row>
    <row r="388" spans="1:14" ht="51" customHeight="1">
      <c r="A388" s="165"/>
      <c r="B388" s="66"/>
      <c r="C388" s="66"/>
      <c r="D388" s="66"/>
      <c r="E388" s="66"/>
      <c r="F388" s="73" t="s">
        <v>178</v>
      </c>
      <c r="G388" s="66"/>
      <c r="H388" s="22"/>
      <c r="I388" s="22"/>
      <c r="J388" s="22"/>
      <c r="K388" s="22"/>
      <c r="L388" s="22"/>
      <c r="M388" s="22"/>
      <c r="N388" s="22"/>
    </row>
    <row r="389" spans="1:14">
      <c r="A389" s="165"/>
      <c r="B389" s="66"/>
      <c r="C389" s="66"/>
      <c r="D389" s="66"/>
      <c r="E389" s="66"/>
      <c r="F389" s="73" t="s">
        <v>178</v>
      </c>
      <c r="G389" s="66"/>
      <c r="H389" s="22"/>
      <c r="I389" s="22"/>
      <c r="J389" s="22"/>
      <c r="K389" s="22"/>
      <c r="L389" s="22"/>
      <c r="M389" s="22"/>
      <c r="N389" s="22"/>
    </row>
    <row r="390" spans="1:14" ht="27">
      <c r="A390" s="165"/>
      <c r="B390" s="66">
        <v>2550</v>
      </c>
      <c r="C390" s="66" t="s">
        <v>10</v>
      </c>
      <c r="D390" s="66">
        <v>5</v>
      </c>
      <c r="E390" s="66">
        <v>0</v>
      </c>
      <c r="F390" s="73" t="s">
        <v>281</v>
      </c>
      <c r="G390" s="66"/>
      <c r="H390" s="22"/>
      <c r="I390" s="22"/>
      <c r="J390" s="22"/>
      <c r="K390" s="22"/>
      <c r="L390" s="22"/>
      <c r="M390" s="22"/>
      <c r="N390" s="22"/>
    </row>
    <row r="391" spans="1:14" ht="56.25" customHeight="1">
      <c r="A391" s="165"/>
      <c r="B391" s="66"/>
      <c r="C391" s="66"/>
      <c r="D391" s="66"/>
      <c r="E391" s="66"/>
      <c r="F391" s="73" t="s">
        <v>156</v>
      </c>
      <c r="G391" s="66"/>
      <c r="H391" s="22"/>
      <c r="I391" s="22"/>
      <c r="J391" s="22"/>
      <c r="K391" s="22"/>
      <c r="L391" s="22"/>
      <c r="M391" s="22"/>
      <c r="N391" s="22"/>
    </row>
    <row r="392" spans="1:14" ht="27">
      <c r="A392" s="165"/>
      <c r="B392" s="66">
        <v>2551</v>
      </c>
      <c r="C392" s="66" t="s">
        <v>10</v>
      </c>
      <c r="D392" s="66">
        <v>5</v>
      </c>
      <c r="E392" s="66">
        <v>1</v>
      </c>
      <c r="F392" s="73" t="s">
        <v>281</v>
      </c>
      <c r="G392" s="66"/>
      <c r="H392" s="22"/>
      <c r="I392" s="22"/>
      <c r="J392" s="22"/>
      <c r="K392" s="22"/>
      <c r="L392" s="22"/>
      <c r="M392" s="22"/>
      <c r="N392" s="22"/>
    </row>
    <row r="393" spans="1:14" ht="40.5">
      <c r="A393" s="165"/>
      <c r="B393" s="66"/>
      <c r="C393" s="66"/>
      <c r="D393" s="66"/>
      <c r="E393" s="66"/>
      <c r="F393" s="73" t="s">
        <v>177</v>
      </c>
      <c r="G393" s="66"/>
      <c r="H393" s="22"/>
      <c r="I393" s="22"/>
      <c r="J393" s="22"/>
      <c r="K393" s="22"/>
      <c r="L393" s="22"/>
      <c r="M393" s="22"/>
      <c r="N393" s="22"/>
    </row>
    <row r="394" spans="1:14" ht="36.75" customHeight="1">
      <c r="A394" s="165"/>
      <c r="B394" s="66"/>
      <c r="C394" s="66"/>
      <c r="D394" s="66"/>
      <c r="E394" s="66"/>
      <c r="F394" s="73" t="s">
        <v>178</v>
      </c>
      <c r="G394" s="66"/>
      <c r="H394" s="22"/>
      <c r="I394" s="22"/>
      <c r="J394" s="22"/>
      <c r="K394" s="22"/>
      <c r="L394" s="22"/>
      <c r="M394" s="22"/>
      <c r="N394" s="22"/>
    </row>
    <row r="395" spans="1:14">
      <c r="A395" s="165"/>
      <c r="B395" s="66"/>
      <c r="C395" s="66"/>
      <c r="D395" s="66"/>
      <c r="E395" s="66"/>
      <c r="F395" s="73" t="s">
        <v>178</v>
      </c>
      <c r="G395" s="66"/>
      <c r="H395" s="22"/>
      <c r="I395" s="22"/>
      <c r="J395" s="22"/>
      <c r="K395" s="22"/>
      <c r="L395" s="22"/>
      <c r="M395" s="22"/>
      <c r="N395" s="22"/>
    </row>
    <row r="396" spans="1:14" ht="42.75" customHeight="1">
      <c r="A396" s="165"/>
      <c r="B396" s="66">
        <v>2560</v>
      </c>
      <c r="C396" s="66" t="s">
        <v>10</v>
      </c>
      <c r="D396" s="66">
        <v>6</v>
      </c>
      <c r="E396" s="66">
        <v>0</v>
      </c>
      <c r="F396" s="73" t="s">
        <v>282</v>
      </c>
      <c r="G396" s="66"/>
      <c r="H396" s="22">
        <f t="shared" ref="H396:N396" si="50">H398</f>
        <v>323931.19200000004</v>
      </c>
      <c r="I396" s="22">
        <f t="shared" si="50"/>
        <v>189775.64300000001</v>
      </c>
      <c r="J396" s="22">
        <f t="shared" si="50"/>
        <v>134155.549</v>
      </c>
      <c r="K396" s="22">
        <f t="shared" si="50"/>
        <v>153766.7167615238</v>
      </c>
      <c r="L396" s="22">
        <f t="shared" si="50"/>
        <v>211948.17593650793</v>
      </c>
      <c r="M396" s="22">
        <f t="shared" si="50"/>
        <v>268935.97701587307</v>
      </c>
      <c r="N396" s="22">
        <f t="shared" si="50"/>
        <v>323931.19200000004</v>
      </c>
    </row>
    <row r="397" spans="1:14" ht="53.25" customHeight="1">
      <c r="A397" s="165"/>
      <c r="B397" s="66"/>
      <c r="C397" s="66"/>
      <c r="D397" s="66"/>
      <c r="E397" s="66"/>
      <c r="F397" s="73" t="s">
        <v>156</v>
      </c>
      <c r="G397" s="66"/>
      <c r="H397" s="22"/>
      <c r="I397" s="22"/>
      <c r="J397" s="22"/>
      <c r="K397" s="22"/>
      <c r="L397" s="22"/>
      <c r="M397" s="22"/>
      <c r="N397" s="22"/>
    </row>
    <row r="398" spans="1:14" ht="26.25" customHeight="1">
      <c r="A398" s="165"/>
      <c r="B398" s="66">
        <v>2561</v>
      </c>
      <c r="C398" s="66" t="s">
        <v>10</v>
      </c>
      <c r="D398" s="66">
        <v>6</v>
      </c>
      <c r="E398" s="66">
        <v>1</v>
      </c>
      <c r="F398" s="73" t="s">
        <v>282</v>
      </c>
      <c r="G398" s="66"/>
      <c r="H398" s="22">
        <f>SUM(H400:H410)</f>
        <v>323931.19200000004</v>
      </c>
      <c r="I398" s="22">
        <f t="shared" ref="I398:J398" si="51">SUM(I400:I410)</f>
        <v>189775.64300000001</v>
      </c>
      <c r="J398" s="22">
        <f t="shared" si="51"/>
        <v>134155.549</v>
      </c>
      <c r="K398" s="22">
        <f t="shared" ref="K398:N398" si="52">SUM(K400:K410)</f>
        <v>153766.7167615238</v>
      </c>
      <c r="L398" s="22">
        <f t="shared" si="52"/>
        <v>211948.17593650793</v>
      </c>
      <c r="M398" s="22">
        <f t="shared" si="52"/>
        <v>268935.97701587307</v>
      </c>
      <c r="N398" s="22">
        <f t="shared" si="52"/>
        <v>323931.19200000004</v>
      </c>
    </row>
    <row r="399" spans="1:14" ht="16.5" customHeight="1">
      <c r="A399" s="165"/>
      <c r="B399" s="66"/>
      <c r="C399" s="66"/>
      <c r="D399" s="66"/>
      <c r="E399" s="66"/>
      <c r="F399" s="73" t="s">
        <v>177</v>
      </c>
      <c r="G399" s="66"/>
      <c r="H399" s="22"/>
      <c r="I399" s="22"/>
      <c r="J399" s="22"/>
      <c r="K399" s="22"/>
      <c r="L399" s="22"/>
      <c r="M399" s="22"/>
      <c r="N399" s="22"/>
    </row>
    <row r="400" spans="1:14" ht="27">
      <c r="A400" s="165"/>
      <c r="B400" s="66"/>
      <c r="C400" s="66"/>
      <c r="D400" s="66"/>
      <c r="E400" s="66"/>
      <c r="F400" s="73" t="s">
        <v>158</v>
      </c>
      <c r="G400" s="66" t="s">
        <v>20</v>
      </c>
      <c r="H400" s="22">
        <f t="shared" ref="H400:H409" si="53">SUM(I400:J400)</f>
        <v>125765.54</v>
      </c>
      <c r="I400" s="22">
        <f>125765.54</f>
        <v>125765.54</v>
      </c>
      <c r="J400" s="22"/>
      <c r="K400" s="156">
        <f>+H400/252*60</f>
        <v>29944.176190476192</v>
      </c>
      <c r="L400" s="156">
        <f>+H400/252*121</f>
        <v>60387.421984126981</v>
      </c>
      <c r="M400" s="156">
        <f>+H400/252*187</f>
        <v>93326.015793650789</v>
      </c>
      <c r="N400" s="156">
        <f t="shared" ref="N400:N410" si="54">+H400</f>
        <v>125765.54</v>
      </c>
    </row>
    <row r="401" spans="1:16" ht="21" customHeight="1">
      <c r="A401" s="165"/>
      <c r="B401" s="66"/>
      <c r="C401" s="66"/>
      <c r="D401" s="66"/>
      <c r="E401" s="66"/>
      <c r="F401" s="73" t="s">
        <v>550</v>
      </c>
      <c r="G401" s="66">
        <v>4213</v>
      </c>
      <c r="H401" s="22">
        <f t="shared" si="53"/>
        <v>31971.753000000001</v>
      </c>
      <c r="I401" s="22">
        <f>30000+1971.753</f>
        <v>31971.753000000001</v>
      </c>
      <c r="J401" s="22"/>
      <c r="K401" s="156">
        <v>9584.0751428571439</v>
      </c>
      <c r="L401" s="156">
        <v>17323.269321428572</v>
      </c>
      <c r="M401" s="156">
        <v>25696.823678571429</v>
      </c>
      <c r="N401" s="156">
        <f t="shared" si="54"/>
        <v>31971.753000000001</v>
      </c>
    </row>
    <row r="402" spans="1:16">
      <c r="A402" s="165"/>
      <c r="B402" s="66"/>
      <c r="C402" s="66"/>
      <c r="D402" s="66"/>
      <c r="E402" s="66"/>
      <c r="F402" s="73" t="s">
        <v>551</v>
      </c>
      <c r="G402" s="66">
        <v>4262</v>
      </c>
      <c r="H402" s="22">
        <f t="shared" si="53"/>
        <v>3500</v>
      </c>
      <c r="I402" s="22">
        <v>3500</v>
      </c>
      <c r="J402" s="22"/>
      <c r="K402" s="156">
        <v>833.33333333333337</v>
      </c>
      <c r="L402" s="156">
        <v>1680.5555555555557</v>
      </c>
      <c r="M402" s="156">
        <v>2597.2222222222222</v>
      </c>
      <c r="N402" s="156">
        <f t="shared" si="54"/>
        <v>3500</v>
      </c>
    </row>
    <row r="403" spans="1:16" ht="17.25" customHeight="1">
      <c r="A403" s="165"/>
      <c r="B403" s="66"/>
      <c r="C403" s="66"/>
      <c r="D403" s="66"/>
      <c r="E403" s="66"/>
      <c r="F403" s="73" t="s">
        <v>574</v>
      </c>
      <c r="G403" s="66" t="s">
        <v>47</v>
      </c>
      <c r="H403" s="22">
        <f t="shared" si="53"/>
        <v>12211.85</v>
      </c>
      <c r="I403" s="22">
        <f>11862+349.85</f>
        <v>12211.85</v>
      </c>
      <c r="J403" s="22"/>
      <c r="K403" s="156">
        <v>3971.7190476190476</v>
      </c>
      <c r="L403" s="156">
        <v>7653.9525793650801</v>
      </c>
      <c r="M403" s="156">
        <v>11638.008531746033</v>
      </c>
      <c r="N403" s="156">
        <f t="shared" si="54"/>
        <v>12211.85</v>
      </c>
    </row>
    <row r="404" spans="1:16">
      <c r="A404" s="165"/>
      <c r="B404" s="66"/>
      <c r="C404" s="66"/>
      <c r="D404" s="66"/>
      <c r="E404" s="66"/>
      <c r="F404" s="73" t="s">
        <v>591</v>
      </c>
      <c r="G404" s="66">
        <v>4269</v>
      </c>
      <c r="H404" s="22">
        <f t="shared" si="53"/>
        <v>5126.5</v>
      </c>
      <c r="I404" s="22">
        <f>5000+126.5</f>
        <v>5126.5</v>
      </c>
      <c r="J404" s="22"/>
      <c r="K404" s="156">
        <v>1347.0952380952381</v>
      </c>
      <c r="L404" s="156">
        <v>2588.0337301587301</v>
      </c>
      <c r="M404" s="156">
        <v>3930.688492063492</v>
      </c>
      <c r="N404" s="156">
        <f t="shared" si="54"/>
        <v>5126.5</v>
      </c>
    </row>
    <row r="405" spans="1:16" ht="27">
      <c r="A405" s="165"/>
      <c r="B405" s="66"/>
      <c r="C405" s="66"/>
      <c r="D405" s="66"/>
      <c r="E405" s="66"/>
      <c r="F405" s="10" t="s">
        <v>410</v>
      </c>
      <c r="G405" s="56" t="s">
        <v>42</v>
      </c>
      <c r="H405" s="22">
        <f t="shared" si="53"/>
        <v>5000</v>
      </c>
      <c r="I405" s="22">
        <v>5000</v>
      </c>
      <c r="J405" s="22"/>
      <c r="K405" s="156">
        <v>1190.4761904761906</v>
      </c>
      <c r="L405" s="156">
        <v>2400.7936507936511</v>
      </c>
      <c r="M405" s="156">
        <v>3710.3174603174602</v>
      </c>
      <c r="N405" s="156">
        <f t="shared" ref="N405" si="55">+H405</f>
        <v>5000</v>
      </c>
    </row>
    <row r="406" spans="1:16" ht="27">
      <c r="A406" s="165"/>
      <c r="B406" s="66"/>
      <c r="C406" s="66"/>
      <c r="D406" s="66"/>
      <c r="E406" s="66"/>
      <c r="F406" s="73" t="s">
        <v>582</v>
      </c>
      <c r="G406" s="66" t="s">
        <v>92</v>
      </c>
      <c r="H406" s="22">
        <f t="shared" si="53"/>
        <v>120285.66899999999</v>
      </c>
      <c r="I406" s="22"/>
      <c r="J406" s="22">
        <f>9800+1515.949+11000+17969.72+80000</f>
        <v>120285.66899999999</v>
      </c>
      <c r="K406" s="156">
        <f>9800+11107.774952+80000</f>
        <v>100907.77495200001</v>
      </c>
      <c r="L406" s="156">
        <f>9800+20859.4646706349+80000</f>
        <v>110659.4646706349</v>
      </c>
      <c r="M406" s="156">
        <v>111210.473218254</v>
      </c>
      <c r="N406" s="156">
        <f t="shared" si="54"/>
        <v>120285.66899999999</v>
      </c>
      <c r="P406" s="165"/>
    </row>
    <row r="407" spans="1:16">
      <c r="A407" s="165"/>
      <c r="B407" s="66"/>
      <c r="C407" s="66"/>
      <c r="D407" s="66"/>
      <c r="E407" s="66"/>
      <c r="F407" s="73" t="s">
        <v>592</v>
      </c>
      <c r="G407" s="66">
        <v>5131</v>
      </c>
      <c r="H407" s="22">
        <f t="shared" si="53"/>
        <v>7150</v>
      </c>
      <c r="I407" s="22"/>
      <c r="J407" s="22">
        <v>7150</v>
      </c>
      <c r="K407" s="156">
        <v>1702.3809523809523</v>
      </c>
      <c r="L407" s="156">
        <v>3433.1349206349205</v>
      </c>
      <c r="M407" s="156">
        <v>5305.7539682539682</v>
      </c>
      <c r="N407" s="156">
        <f t="shared" si="54"/>
        <v>7150</v>
      </c>
    </row>
    <row r="408" spans="1:16">
      <c r="A408" s="165"/>
      <c r="B408" s="66"/>
      <c r="C408" s="66"/>
      <c r="D408" s="66"/>
      <c r="E408" s="66"/>
      <c r="F408" s="73" t="s">
        <v>755</v>
      </c>
      <c r="G408" s="66" t="s">
        <v>99</v>
      </c>
      <c r="H408" s="22">
        <f t="shared" si="53"/>
        <v>5144.88</v>
      </c>
      <c r="I408" s="22"/>
      <c r="J408" s="22">
        <f>144.88+5000</f>
        <v>5144.88</v>
      </c>
      <c r="K408" s="156">
        <v>34.495238095238093</v>
      </c>
      <c r="L408" s="156">
        <v>69.565396825396832</v>
      </c>
      <c r="M408" s="156">
        <v>4144.88</v>
      </c>
      <c r="N408" s="156">
        <f t="shared" si="54"/>
        <v>5144.88</v>
      </c>
    </row>
    <row r="409" spans="1:16">
      <c r="A409" s="165"/>
      <c r="B409" s="66"/>
      <c r="C409" s="66"/>
      <c r="D409" s="66"/>
      <c r="E409" s="66"/>
      <c r="F409" s="73" t="s">
        <v>857</v>
      </c>
      <c r="G409" s="66" t="s">
        <v>95</v>
      </c>
      <c r="H409" s="22">
        <f t="shared" si="53"/>
        <v>1575</v>
      </c>
      <c r="I409" s="22"/>
      <c r="J409" s="22">
        <f>1575</f>
        <v>1575</v>
      </c>
      <c r="K409" s="156">
        <v>1575</v>
      </c>
      <c r="L409" s="156">
        <v>1575</v>
      </c>
      <c r="M409" s="156">
        <v>1575</v>
      </c>
      <c r="N409" s="156">
        <f t="shared" ref="N409" si="56">+H409</f>
        <v>1575</v>
      </c>
    </row>
    <row r="410" spans="1:16">
      <c r="A410" s="165"/>
      <c r="B410" s="66"/>
      <c r="C410" s="66"/>
      <c r="D410" s="66"/>
      <c r="E410" s="66"/>
      <c r="F410" s="73" t="s">
        <v>547</v>
      </c>
      <c r="G410" s="66" t="s">
        <v>40</v>
      </c>
      <c r="H410" s="22">
        <f t="shared" ref="H410" si="57">SUM(I410:J410)</f>
        <v>6200</v>
      </c>
      <c r="I410" s="22">
        <f>1200+5000</f>
        <v>6200</v>
      </c>
      <c r="J410" s="22"/>
      <c r="K410" s="156">
        <v>2676.1904761904761</v>
      </c>
      <c r="L410" s="156">
        <v>4176.9841269841272</v>
      </c>
      <c r="M410" s="156">
        <v>5800.7936507936511</v>
      </c>
      <c r="N410" s="156">
        <f t="shared" si="54"/>
        <v>6200</v>
      </c>
    </row>
    <row r="411" spans="1:16" ht="54">
      <c r="A411" s="165"/>
      <c r="B411" s="66">
        <v>2600</v>
      </c>
      <c r="C411" s="66" t="s">
        <v>11</v>
      </c>
      <c r="D411" s="66">
        <v>0</v>
      </c>
      <c r="E411" s="66">
        <v>0</v>
      </c>
      <c r="F411" s="73" t="s">
        <v>283</v>
      </c>
      <c r="G411" s="66"/>
      <c r="H411" s="22">
        <f t="shared" ref="H411:N411" si="58">H413+H419+H425+H431+H442+H447</f>
        <v>1271278.0077999989</v>
      </c>
      <c r="I411" s="22">
        <f t="shared" si="58"/>
        <v>472537.978</v>
      </c>
      <c r="J411" s="22">
        <f t="shared" si="58"/>
        <v>798740.02979999885</v>
      </c>
      <c r="K411" s="22">
        <f t="shared" si="58"/>
        <v>606935.96132769086</v>
      </c>
      <c r="L411" s="22">
        <f t="shared" si="58"/>
        <v>889295.2311823417</v>
      </c>
      <c r="M411" s="22">
        <f t="shared" si="58"/>
        <v>1096914.4824730498</v>
      </c>
      <c r="N411" s="22">
        <f t="shared" si="58"/>
        <v>1271278.0077999989</v>
      </c>
    </row>
    <row r="412" spans="1:16">
      <c r="A412" s="165"/>
      <c r="B412" s="66"/>
      <c r="C412" s="66"/>
      <c r="D412" s="66"/>
      <c r="E412" s="66"/>
      <c r="F412" s="73" t="s">
        <v>154</v>
      </c>
      <c r="G412" s="66"/>
      <c r="H412" s="22"/>
      <c r="I412" s="22"/>
      <c r="J412" s="22"/>
      <c r="K412" s="22"/>
      <c r="L412" s="22"/>
      <c r="M412" s="22"/>
      <c r="N412" s="22"/>
    </row>
    <row r="413" spans="1:16">
      <c r="A413" s="165"/>
      <c r="B413" s="66">
        <v>2610</v>
      </c>
      <c r="C413" s="66" t="s">
        <v>11</v>
      </c>
      <c r="D413" s="66">
        <v>1</v>
      </c>
      <c r="E413" s="66">
        <v>0</v>
      </c>
      <c r="F413" s="73" t="s">
        <v>284</v>
      </c>
      <c r="G413" s="66"/>
      <c r="H413" s="22"/>
      <c r="I413" s="22"/>
      <c r="J413" s="22"/>
      <c r="K413" s="22"/>
      <c r="L413" s="22"/>
      <c r="M413" s="22"/>
      <c r="N413" s="22"/>
    </row>
    <row r="414" spans="1:16" ht="57" customHeight="1">
      <c r="A414" s="165"/>
      <c r="B414" s="66"/>
      <c r="C414" s="66"/>
      <c r="D414" s="66"/>
      <c r="E414" s="66"/>
      <c r="F414" s="73" t="s">
        <v>156</v>
      </c>
      <c r="G414" s="66"/>
      <c r="H414" s="22"/>
      <c r="I414" s="22"/>
      <c r="J414" s="22"/>
      <c r="K414" s="22"/>
      <c r="L414" s="22"/>
      <c r="M414" s="22"/>
      <c r="N414" s="22"/>
    </row>
    <row r="415" spans="1:16">
      <c r="A415" s="165"/>
      <c r="B415" s="66">
        <v>2611</v>
      </c>
      <c r="C415" s="66" t="s">
        <v>11</v>
      </c>
      <c r="D415" s="66">
        <v>1</v>
      </c>
      <c r="E415" s="66">
        <v>1</v>
      </c>
      <c r="F415" s="73" t="s">
        <v>285</v>
      </c>
      <c r="G415" s="66"/>
      <c r="H415" s="22"/>
      <c r="I415" s="22"/>
      <c r="J415" s="22"/>
      <c r="K415" s="22"/>
      <c r="L415" s="22"/>
      <c r="M415" s="22"/>
      <c r="N415" s="22"/>
    </row>
    <row r="416" spans="1:16" ht="40.5">
      <c r="A416" s="165"/>
      <c r="B416" s="66"/>
      <c r="C416" s="66"/>
      <c r="D416" s="66"/>
      <c r="E416" s="66"/>
      <c r="F416" s="73" t="s">
        <v>177</v>
      </c>
      <c r="G416" s="66"/>
      <c r="H416" s="22"/>
      <c r="I416" s="22"/>
      <c r="J416" s="22"/>
      <c r="K416" s="22"/>
      <c r="L416" s="22"/>
      <c r="M416" s="22"/>
      <c r="N416" s="22"/>
    </row>
    <row r="417" spans="1:14">
      <c r="A417" s="165"/>
      <c r="B417" s="66"/>
      <c r="C417" s="66"/>
      <c r="D417" s="66"/>
      <c r="E417" s="66"/>
      <c r="F417" s="73" t="s">
        <v>178</v>
      </c>
      <c r="G417" s="66"/>
      <c r="H417" s="22"/>
      <c r="I417" s="22"/>
      <c r="J417" s="22"/>
      <c r="K417" s="22"/>
      <c r="L417" s="22"/>
      <c r="M417" s="22"/>
      <c r="N417" s="22"/>
    </row>
    <row r="418" spans="1:14">
      <c r="A418" s="165"/>
      <c r="B418" s="66"/>
      <c r="C418" s="66"/>
      <c r="D418" s="66"/>
      <c r="E418" s="66"/>
      <c r="F418" s="73" t="s">
        <v>178</v>
      </c>
      <c r="G418" s="66"/>
      <c r="H418" s="22"/>
      <c r="I418" s="22"/>
      <c r="J418" s="22"/>
      <c r="K418" s="22"/>
      <c r="L418" s="22"/>
      <c r="M418" s="22"/>
      <c r="N418" s="22"/>
    </row>
    <row r="419" spans="1:14">
      <c r="A419" s="165"/>
      <c r="B419" s="66">
        <v>2620</v>
      </c>
      <c r="C419" s="66" t="s">
        <v>11</v>
      </c>
      <c r="D419" s="66">
        <v>2</v>
      </c>
      <c r="E419" s="66">
        <v>0</v>
      </c>
      <c r="F419" s="73" t="s">
        <v>286</v>
      </c>
      <c r="G419" s="66"/>
      <c r="H419" s="22"/>
      <c r="I419" s="22"/>
      <c r="J419" s="22"/>
      <c r="K419" s="22"/>
      <c r="L419" s="22"/>
      <c r="M419" s="22"/>
      <c r="N419" s="22"/>
    </row>
    <row r="420" spans="1:14" ht="60.75" customHeight="1">
      <c r="A420" s="165"/>
      <c r="B420" s="66"/>
      <c r="C420" s="66"/>
      <c r="D420" s="66"/>
      <c r="E420" s="66"/>
      <c r="F420" s="73" t="s">
        <v>156</v>
      </c>
      <c r="G420" s="66"/>
      <c r="H420" s="22"/>
      <c r="I420" s="22"/>
      <c r="J420" s="22"/>
      <c r="K420" s="22"/>
      <c r="L420" s="22"/>
      <c r="M420" s="22"/>
      <c r="N420" s="22"/>
    </row>
    <row r="421" spans="1:14">
      <c r="A421" s="165"/>
      <c r="B421" s="66">
        <v>2621</v>
      </c>
      <c r="C421" s="66" t="s">
        <v>11</v>
      </c>
      <c r="D421" s="66">
        <v>2</v>
      </c>
      <c r="E421" s="66">
        <v>1</v>
      </c>
      <c r="F421" s="73" t="s">
        <v>286</v>
      </c>
      <c r="G421" s="66"/>
      <c r="H421" s="22"/>
      <c r="I421" s="22"/>
      <c r="J421" s="22"/>
      <c r="K421" s="22"/>
      <c r="L421" s="22"/>
      <c r="M421" s="22"/>
      <c r="N421" s="22"/>
    </row>
    <row r="422" spans="1:14" ht="40.5">
      <c r="A422" s="165"/>
      <c r="B422" s="66"/>
      <c r="C422" s="66"/>
      <c r="D422" s="66"/>
      <c r="E422" s="66"/>
      <c r="F422" s="73" t="s">
        <v>177</v>
      </c>
      <c r="G422" s="66"/>
      <c r="H422" s="22"/>
      <c r="I422" s="22"/>
      <c r="J422" s="22"/>
      <c r="K422" s="22"/>
      <c r="L422" s="22"/>
      <c r="M422" s="22"/>
      <c r="N422" s="22"/>
    </row>
    <row r="423" spans="1:14">
      <c r="A423" s="165"/>
      <c r="B423" s="66"/>
      <c r="C423" s="66"/>
      <c r="D423" s="66"/>
      <c r="E423" s="66"/>
      <c r="F423" s="73" t="s">
        <v>590</v>
      </c>
      <c r="G423" s="66"/>
      <c r="H423" s="22"/>
      <c r="I423" s="22"/>
      <c r="J423" s="22"/>
      <c r="K423" s="22"/>
      <c r="L423" s="22"/>
      <c r="M423" s="22"/>
      <c r="N423" s="22"/>
    </row>
    <row r="424" spans="1:14">
      <c r="A424" s="165"/>
      <c r="B424" s="66"/>
      <c r="C424" s="66"/>
      <c r="D424" s="66"/>
      <c r="E424" s="66"/>
      <c r="F424" s="73" t="s">
        <v>178</v>
      </c>
      <c r="G424" s="66"/>
      <c r="H424" s="22"/>
      <c r="I424" s="22"/>
      <c r="J424" s="22"/>
      <c r="K424" s="22"/>
      <c r="L424" s="22"/>
      <c r="M424" s="22"/>
      <c r="N424" s="22"/>
    </row>
    <row r="425" spans="1:14">
      <c r="A425" s="165"/>
      <c r="B425" s="66">
        <v>2630</v>
      </c>
      <c r="C425" s="66" t="s">
        <v>11</v>
      </c>
      <c r="D425" s="66">
        <v>3</v>
      </c>
      <c r="E425" s="66">
        <v>0</v>
      </c>
      <c r="F425" s="73" t="s">
        <v>287</v>
      </c>
      <c r="G425" s="66"/>
      <c r="H425" s="22"/>
      <c r="I425" s="22"/>
      <c r="J425" s="22"/>
      <c r="K425" s="22"/>
      <c r="L425" s="22"/>
      <c r="M425" s="22"/>
      <c r="N425" s="22"/>
    </row>
    <row r="426" spans="1:14" ht="56.25" customHeight="1">
      <c r="A426" s="165"/>
      <c r="B426" s="66"/>
      <c r="C426" s="66"/>
      <c r="D426" s="66"/>
      <c r="E426" s="66"/>
      <c r="F426" s="73" t="s">
        <v>156</v>
      </c>
      <c r="G426" s="66"/>
      <c r="H426" s="22"/>
      <c r="I426" s="22"/>
      <c r="J426" s="22"/>
      <c r="K426" s="22"/>
      <c r="L426" s="22"/>
      <c r="M426" s="22"/>
      <c r="N426" s="22"/>
    </row>
    <row r="427" spans="1:14">
      <c r="A427" s="165"/>
      <c r="B427" s="66">
        <v>2631</v>
      </c>
      <c r="C427" s="66" t="s">
        <v>11</v>
      </c>
      <c r="D427" s="66">
        <v>3</v>
      </c>
      <c r="E427" s="66">
        <v>1</v>
      </c>
      <c r="F427" s="73" t="s">
        <v>288</v>
      </c>
      <c r="G427" s="66"/>
      <c r="H427" s="22"/>
      <c r="I427" s="22"/>
      <c r="J427" s="22"/>
      <c r="K427" s="22"/>
      <c r="L427" s="22"/>
      <c r="M427" s="22"/>
      <c r="N427" s="22"/>
    </row>
    <row r="428" spans="1:14" ht="40.5">
      <c r="A428" s="165"/>
      <c r="B428" s="66"/>
      <c r="C428" s="66"/>
      <c r="D428" s="66"/>
      <c r="E428" s="66"/>
      <c r="F428" s="73" t="s">
        <v>177</v>
      </c>
      <c r="G428" s="66"/>
      <c r="H428" s="22"/>
      <c r="I428" s="22"/>
      <c r="J428" s="22"/>
      <c r="K428" s="22"/>
      <c r="L428" s="22"/>
      <c r="M428" s="22"/>
      <c r="N428" s="22"/>
    </row>
    <row r="429" spans="1:14">
      <c r="A429" s="165"/>
      <c r="B429" s="66"/>
      <c r="C429" s="66"/>
      <c r="D429" s="66"/>
      <c r="E429" s="66"/>
      <c r="F429" s="73" t="s">
        <v>178</v>
      </c>
      <c r="G429" s="66"/>
      <c r="H429" s="22"/>
      <c r="I429" s="22"/>
      <c r="J429" s="22"/>
      <c r="K429" s="22"/>
      <c r="L429" s="22"/>
      <c r="M429" s="22"/>
      <c r="N429" s="22"/>
    </row>
    <row r="430" spans="1:14">
      <c r="A430" s="165"/>
      <c r="B430" s="66"/>
      <c r="C430" s="66"/>
      <c r="D430" s="66"/>
      <c r="E430" s="66"/>
      <c r="F430" s="73" t="s">
        <v>178</v>
      </c>
      <c r="G430" s="66"/>
      <c r="H430" s="22"/>
      <c r="I430" s="22"/>
      <c r="J430" s="22"/>
      <c r="K430" s="22"/>
      <c r="L430" s="22"/>
      <c r="M430" s="22"/>
      <c r="N430" s="22"/>
    </row>
    <row r="431" spans="1:14">
      <c r="A431" s="165"/>
      <c r="B431" s="66">
        <v>2640</v>
      </c>
      <c r="C431" s="66" t="s">
        <v>11</v>
      </c>
      <c r="D431" s="66">
        <v>4</v>
      </c>
      <c r="E431" s="66">
        <v>0</v>
      </c>
      <c r="F431" s="73" t="s">
        <v>289</v>
      </c>
      <c r="G431" s="66"/>
      <c r="H431" s="22">
        <f t="shared" ref="H431:N431" si="59">H433</f>
        <v>241361.40299999999</v>
      </c>
      <c r="I431" s="22">
        <f t="shared" si="59"/>
        <v>229361.40299999999</v>
      </c>
      <c r="J431" s="22">
        <f t="shared" si="59"/>
        <v>12000</v>
      </c>
      <c r="K431" s="22">
        <f t="shared" si="59"/>
        <v>86369.394517786597</v>
      </c>
      <c r="L431" s="22">
        <f t="shared" si="59"/>
        <v>164316.12709980231</v>
      </c>
      <c r="M431" s="22">
        <f t="shared" si="59"/>
        <v>201756.26775000032</v>
      </c>
      <c r="N431" s="22">
        <f t="shared" si="59"/>
        <v>241361.40299999999</v>
      </c>
    </row>
    <row r="432" spans="1:14" ht="55.5" customHeight="1">
      <c r="A432" s="165"/>
      <c r="B432" s="66"/>
      <c r="C432" s="66"/>
      <c r="D432" s="66"/>
      <c r="E432" s="66"/>
      <c r="F432" s="73" t="s">
        <v>156</v>
      </c>
      <c r="G432" s="66"/>
      <c r="H432" s="22"/>
      <c r="I432" s="22"/>
      <c r="J432" s="22"/>
      <c r="K432" s="22"/>
      <c r="L432" s="22"/>
      <c r="M432" s="22"/>
      <c r="N432" s="22"/>
    </row>
    <row r="433" spans="1:14">
      <c r="A433" s="165"/>
      <c r="B433" s="66">
        <v>2641</v>
      </c>
      <c r="C433" s="66" t="s">
        <v>11</v>
      </c>
      <c r="D433" s="66">
        <v>4</v>
      </c>
      <c r="E433" s="66">
        <v>1</v>
      </c>
      <c r="F433" s="73" t="s">
        <v>290</v>
      </c>
      <c r="G433" s="66"/>
      <c r="H433" s="22">
        <f t="shared" ref="H433:N433" si="60">SUM(H435:H440)</f>
        <v>241361.40299999999</v>
      </c>
      <c r="I433" s="22">
        <f t="shared" si="60"/>
        <v>229361.40299999999</v>
      </c>
      <c r="J433" s="22">
        <f t="shared" si="60"/>
        <v>12000</v>
      </c>
      <c r="K433" s="22">
        <f t="shared" si="60"/>
        <v>86369.394517786597</v>
      </c>
      <c r="L433" s="22">
        <f t="shared" si="60"/>
        <v>164316.12709980231</v>
      </c>
      <c r="M433" s="22">
        <f t="shared" si="60"/>
        <v>201756.26775000032</v>
      </c>
      <c r="N433" s="22">
        <f t="shared" si="60"/>
        <v>241361.40299999999</v>
      </c>
    </row>
    <row r="434" spans="1:14" ht="40.5">
      <c r="A434" s="165"/>
      <c r="B434" s="66"/>
      <c r="C434" s="66"/>
      <c r="D434" s="66"/>
      <c r="E434" s="66"/>
      <c r="F434" s="73" t="s">
        <v>177</v>
      </c>
      <c r="G434" s="66"/>
      <c r="H434" s="22"/>
      <c r="I434" s="22"/>
      <c r="J434" s="22"/>
      <c r="K434" s="22"/>
      <c r="L434" s="22"/>
      <c r="M434" s="22"/>
      <c r="N434" s="22"/>
    </row>
    <row r="435" spans="1:14">
      <c r="A435" s="165"/>
      <c r="B435" s="66"/>
      <c r="C435" s="66"/>
      <c r="D435" s="66"/>
      <c r="E435" s="66"/>
      <c r="F435" s="73" t="s">
        <v>588</v>
      </c>
      <c r="G435" s="66">
        <v>4212</v>
      </c>
      <c r="H435" s="22">
        <f>+I435+J435</f>
        <v>220361.40299999999</v>
      </c>
      <c r="I435" s="22">
        <f>200000+14711.403+650+5000</f>
        <v>220361.40299999999</v>
      </c>
      <c r="J435" s="22"/>
      <c r="K435" s="156">
        <v>81369.394517786612</v>
      </c>
      <c r="L435" s="156">
        <v>154232.793766469</v>
      </c>
      <c r="M435" s="156">
        <v>186172.93441666701</v>
      </c>
      <c r="N435" s="156">
        <f t="shared" ref="N435:N440" si="61">+H435</f>
        <v>220361.40299999999</v>
      </c>
    </row>
    <row r="436" spans="1:14">
      <c r="A436" s="165"/>
      <c r="B436" s="66"/>
      <c r="C436" s="66"/>
      <c r="D436" s="66"/>
      <c r="E436" s="66"/>
      <c r="F436" s="73" t="s">
        <v>547</v>
      </c>
      <c r="G436" s="66">
        <v>4239</v>
      </c>
      <c r="H436" s="22">
        <f t="shared" ref="H436:H440" si="62">+I436+J436</f>
        <v>5000</v>
      </c>
      <c r="I436" s="22">
        <v>5000</v>
      </c>
      <c r="J436" s="22"/>
      <c r="K436" s="156">
        <v>1190.4761904761906</v>
      </c>
      <c r="L436" s="156">
        <v>2400.7936507936511</v>
      </c>
      <c r="M436" s="156">
        <v>3710.3174603174602</v>
      </c>
      <c r="N436" s="156">
        <f t="shared" si="61"/>
        <v>5000</v>
      </c>
    </row>
    <row r="437" spans="1:14">
      <c r="A437" s="165"/>
      <c r="B437" s="66"/>
      <c r="C437" s="66"/>
      <c r="D437" s="66"/>
      <c r="E437" s="66"/>
      <c r="F437" s="73" t="s">
        <v>169</v>
      </c>
      <c r="G437" s="66">
        <v>4269</v>
      </c>
      <c r="H437" s="22">
        <f t="shared" si="62"/>
        <v>4000</v>
      </c>
      <c r="I437" s="22">
        <v>4000</v>
      </c>
      <c r="J437" s="22"/>
      <c r="K437" s="156">
        <v>952.38095238095241</v>
      </c>
      <c r="L437" s="156">
        <v>1920.6349206349207</v>
      </c>
      <c r="M437" s="156">
        <v>2968.2539682539682</v>
      </c>
      <c r="N437" s="156">
        <f t="shared" si="61"/>
        <v>4000</v>
      </c>
    </row>
    <row r="438" spans="1:14">
      <c r="A438" s="165"/>
      <c r="B438" s="66"/>
      <c r="C438" s="66"/>
      <c r="D438" s="66"/>
      <c r="E438" s="66"/>
      <c r="F438" s="73" t="s">
        <v>543</v>
      </c>
      <c r="G438" s="66">
        <v>4822</v>
      </c>
      <c r="H438" s="22">
        <f t="shared" si="62"/>
        <v>0</v>
      </c>
      <c r="I438" s="22"/>
      <c r="J438" s="22"/>
      <c r="K438" s="156">
        <v>0</v>
      </c>
      <c r="L438" s="156">
        <v>0</v>
      </c>
      <c r="M438" s="156">
        <v>0</v>
      </c>
      <c r="N438" s="156">
        <f t="shared" si="61"/>
        <v>0</v>
      </c>
    </row>
    <row r="439" spans="1:14">
      <c r="A439" s="165"/>
      <c r="B439" s="66"/>
      <c r="C439" s="66"/>
      <c r="D439" s="66"/>
      <c r="E439" s="66"/>
      <c r="F439" s="73" t="s">
        <v>552</v>
      </c>
      <c r="G439" s="66">
        <v>5112</v>
      </c>
      <c r="H439" s="22">
        <f t="shared" si="62"/>
        <v>2000</v>
      </c>
      <c r="I439" s="22"/>
      <c r="J439" s="22">
        <v>2000</v>
      </c>
      <c r="K439" s="156">
        <v>476.1904761904762</v>
      </c>
      <c r="L439" s="156">
        <v>960.31746031746036</v>
      </c>
      <c r="M439" s="156">
        <v>1484.1269841269841</v>
      </c>
      <c r="N439" s="156">
        <f t="shared" si="61"/>
        <v>2000</v>
      </c>
    </row>
    <row r="440" spans="1:14">
      <c r="A440" s="165"/>
      <c r="B440" s="66"/>
      <c r="C440" s="66"/>
      <c r="D440" s="66"/>
      <c r="E440" s="66"/>
      <c r="F440" s="73" t="s">
        <v>589</v>
      </c>
      <c r="G440" s="66">
        <v>5129</v>
      </c>
      <c r="H440" s="22">
        <f t="shared" si="62"/>
        <v>10000</v>
      </c>
      <c r="I440" s="22"/>
      <c r="J440" s="22">
        <v>10000</v>
      </c>
      <c r="K440" s="156">
        <v>2380.9523809523812</v>
      </c>
      <c r="L440" s="156">
        <v>4801.5873015873021</v>
      </c>
      <c r="M440" s="156">
        <v>7420.6349206349205</v>
      </c>
      <c r="N440" s="156">
        <f t="shared" si="61"/>
        <v>10000</v>
      </c>
    </row>
    <row r="441" spans="1:14">
      <c r="A441" s="165"/>
      <c r="B441" s="66"/>
      <c r="C441" s="66"/>
      <c r="D441" s="66"/>
      <c r="E441" s="66"/>
      <c r="F441" s="73" t="s">
        <v>178</v>
      </c>
      <c r="G441" s="66"/>
      <c r="H441" s="22"/>
      <c r="I441" s="22"/>
      <c r="J441" s="22"/>
      <c r="K441" s="22"/>
      <c r="L441" s="22"/>
      <c r="M441" s="22"/>
      <c r="N441" s="22"/>
    </row>
    <row r="442" spans="1:14" ht="60" customHeight="1">
      <c r="A442" s="165"/>
      <c r="B442" s="66">
        <v>2650</v>
      </c>
      <c r="C442" s="66" t="s">
        <v>11</v>
      </c>
      <c r="D442" s="66">
        <v>5</v>
      </c>
      <c r="E442" s="66">
        <v>0</v>
      </c>
      <c r="F442" s="73" t="s">
        <v>291</v>
      </c>
      <c r="G442" s="66"/>
      <c r="H442" s="22"/>
      <c r="I442" s="22"/>
      <c r="J442" s="22"/>
      <c r="K442" s="22"/>
      <c r="L442" s="22"/>
      <c r="M442" s="22"/>
      <c r="N442" s="22"/>
    </row>
    <row r="443" spans="1:14" ht="54" customHeight="1">
      <c r="A443" s="165"/>
      <c r="B443" s="66"/>
      <c r="C443" s="66"/>
      <c r="D443" s="66"/>
      <c r="E443" s="66"/>
      <c r="F443" s="73" t="s">
        <v>156</v>
      </c>
      <c r="G443" s="66"/>
      <c r="H443" s="22"/>
      <c r="I443" s="22"/>
      <c r="J443" s="22"/>
      <c r="K443" s="22"/>
      <c r="L443" s="22"/>
      <c r="M443" s="22"/>
      <c r="N443" s="22"/>
    </row>
    <row r="444" spans="1:14" ht="40.5">
      <c r="A444" s="165"/>
      <c r="B444" s="66">
        <v>2651</v>
      </c>
      <c r="C444" s="66" t="s">
        <v>11</v>
      </c>
      <c r="D444" s="66">
        <v>5</v>
      </c>
      <c r="E444" s="66">
        <v>1</v>
      </c>
      <c r="F444" s="73" t="s">
        <v>291</v>
      </c>
      <c r="G444" s="66"/>
      <c r="H444" s="22"/>
      <c r="I444" s="22"/>
      <c r="J444" s="22"/>
      <c r="K444" s="22"/>
      <c r="L444" s="22"/>
      <c r="M444" s="22"/>
      <c r="N444" s="22"/>
    </row>
    <row r="445" spans="1:14" ht="37.5" customHeight="1">
      <c r="A445" s="165"/>
      <c r="B445" s="66"/>
      <c r="C445" s="66"/>
      <c r="D445" s="66"/>
      <c r="E445" s="66"/>
      <c r="F445" s="73" t="s">
        <v>177</v>
      </c>
      <c r="G445" s="66"/>
      <c r="H445" s="22"/>
      <c r="I445" s="22"/>
      <c r="J445" s="22"/>
      <c r="K445" s="22"/>
      <c r="L445" s="22"/>
      <c r="M445" s="22"/>
      <c r="N445" s="22"/>
    </row>
    <row r="446" spans="1:14">
      <c r="A446" s="165"/>
      <c r="B446" s="66"/>
      <c r="C446" s="66"/>
      <c r="D446" s="66"/>
      <c r="E446" s="66"/>
      <c r="F446" s="73" t="s">
        <v>178</v>
      </c>
      <c r="G446" s="66"/>
      <c r="H446" s="22"/>
      <c r="I446" s="22"/>
      <c r="J446" s="22"/>
      <c r="K446" s="22"/>
      <c r="L446" s="22"/>
      <c r="M446" s="22"/>
      <c r="N446" s="22"/>
    </row>
    <row r="447" spans="1:14" ht="36" customHeight="1">
      <c r="A447" s="165"/>
      <c r="B447" s="66">
        <v>2660</v>
      </c>
      <c r="C447" s="66" t="s">
        <v>11</v>
      </c>
      <c r="D447" s="66">
        <v>6</v>
      </c>
      <c r="E447" s="66">
        <v>0</v>
      </c>
      <c r="F447" s="73" t="s">
        <v>292</v>
      </c>
      <c r="G447" s="66"/>
      <c r="H447" s="22">
        <f>+H449</f>
        <v>1029916.6047999988</v>
      </c>
      <c r="I447" s="22">
        <f t="shared" ref="I447:N447" si="63">I449</f>
        <v>243176.57499999998</v>
      </c>
      <c r="J447" s="22">
        <f t="shared" si="63"/>
        <v>786740.02979999885</v>
      </c>
      <c r="K447" s="22">
        <f t="shared" si="63"/>
        <v>520566.5668099043</v>
      </c>
      <c r="L447" s="22">
        <f t="shared" si="63"/>
        <v>724979.10408253933</v>
      </c>
      <c r="M447" s="22">
        <f t="shared" si="63"/>
        <v>895158.21472304955</v>
      </c>
      <c r="N447" s="22">
        <f t="shared" si="63"/>
        <v>1029916.6047999988</v>
      </c>
    </row>
    <row r="448" spans="1:14" ht="55.5" customHeight="1">
      <c r="A448" s="165"/>
      <c r="B448" s="66"/>
      <c r="C448" s="66"/>
      <c r="D448" s="66"/>
      <c r="E448" s="66"/>
      <c r="F448" s="73" t="s">
        <v>156</v>
      </c>
      <c r="G448" s="66"/>
      <c r="H448" s="22"/>
      <c r="I448" s="22"/>
      <c r="J448" s="22"/>
      <c r="K448" s="22"/>
      <c r="L448" s="22"/>
      <c r="M448" s="22"/>
      <c r="N448" s="22"/>
    </row>
    <row r="449" spans="1:16" ht="39.75" customHeight="1">
      <c r="A449" s="165"/>
      <c r="B449" s="66">
        <v>2661</v>
      </c>
      <c r="C449" s="66" t="s">
        <v>11</v>
      </c>
      <c r="D449" s="66">
        <v>6</v>
      </c>
      <c r="E449" s="66">
        <v>1</v>
      </c>
      <c r="F449" s="73" t="s">
        <v>292</v>
      </c>
      <c r="G449" s="66"/>
      <c r="H449" s="22">
        <f>+H451+H452+H453+H454+H455+H456+H457+H458+H459+H460+H461+H462+H463+H464+H465</f>
        <v>1029916.6047999988</v>
      </c>
      <c r="I449" s="22">
        <f t="shared" ref="I449:N449" si="64">+I451+I452+I453+I454+I455+I456+I457+I458+I459+I460+I461+I462+I463+I464+I465</f>
        <v>243176.57499999998</v>
      </c>
      <c r="J449" s="22">
        <f t="shared" si="64"/>
        <v>786740.02979999885</v>
      </c>
      <c r="K449" s="22">
        <f t="shared" si="64"/>
        <v>520566.5668099043</v>
      </c>
      <c r="L449" s="22">
        <f t="shared" si="64"/>
        <v>724979.10408253933</v>
      </c>
      <c r="M449" s="22">
        <f t="shared" si="64"/>
        <v>895158.21472304955</v>
      </c>
      <c r="N449" s="22">
        <f t="shared" si="64"/>
        <v>1029916.6047999988</v>
      </c>
    </row>
    <row r="450" spans="1:16" ht="39.75" customHeight="1">
      <c r="A450" s="165"/>
      <c r="B450" s="66"/>
      <c r="C450" s="66"/>
      <c r="D450" s="66"/>
      <c r="E450" s="66"/>
      <c r="F450" s="73" t="s">
        <v>177</v>
      </c>
      <c r="G450" s="66"/>
      <c r="H450" s="22"/>
      <c r="I450" s="22"/>
      <c r="J450" s="22"/>
      <c r="K450" s="22"/>
      <c r="L450" s="22"/>
      <c r="M450" s="22"/>
      <c r="N450" s="22"/>
    </row>
    <row r="451" spans="1:16" ht="31.5" customHeight="1">
      <c r="A451" s="165"/>
      <c r="B451" s="66"/>
      <c r="C451" s="66"/>
      <c r="D451" s="66"/>
      <c r="E451" s="66"/>
      <c r="F451" s="73" t="s">
        <v>158</v>
      </c>
      <c r="G451" s="66" t="s">
        <v>20</v>
      </c>
      <c r="H451" s="22">
        <f>SUM(I451:J451)</f>
        <v>126441.5</v>
      </c>
      <c r="I451" s="22">
        <f>116441.5+5000+5000</f>
        <v>126441.5</v>
      </c>
      <c r="J451" s="22"/>
      <c r="K451" s="156">
        <v>29390.833333333332</v>
      </c>
      <c r="L451" s="156">
        <v>59271.513888888891</v>
      </c>
      <c r="M451" s="156">
        <v>91601.430555555562</v>
      </c>
      <c r="N451" s="156">
        <f t="shared" ref="N451:N465" si="65">+H451</f>
        <v>126441.5</v>
      </c>
    </row>
    <row r="452" spans="1:16" ht="20.25" customHeight="1">
      <c r="A452" s="165"/>
      <c r="B452" s="66"/>
      <c r="C452" s="66"/>
      <c r="D452" s="66"/>
      <c r="E452" s="66"/>
      <c r="F452" s="73" t="s">
        <v>750</v>
      </c>
      <c r="G452" s="66" t="s">
        <v>29</v>
      </c>
      <c r="H452" s="22">
        <f t="shared" ref="H452:H459" si="66">SUM(I452:J452)</f>
        <v>0</v>
      </c>
      <c r="I452" s="22"/>
      <c r="J452" s="22"/>
      <c r="K452" s="156">
        <v>0</v>
      </c>
      <c r="L452" s="156">
        <v>0</v>
      </c>
      <c r="M452" s="156">
        <v>0</v>
      </c>
      <c r="N452" s="156">
        <f t="shared" si="65"/>
        <v>0</v>
      </c>
    </row>
    <row r="453" spans="1:16">
      <c r="A453" s="165"/>
      <c r="B453" s="66"/>
      <c r="C453" s="66"/>
      <c r="D453" s="66"/>
      <c r="E453" s="66"/>
      <c r="F453" s="73" t="s">
        <v>547</v>
      </c>
      <c r="G453" s="66" t="s">
        <v>40</v>
      </c>
      <c r="H453" s="22">
        <f t="shared" si="66"/>
        <v>19645.169999999998</v>
      </c>
      <c r="I453" s="22">
        <f>12000+5000+2113.3+531.87</f>
        <v>19645.169999999998</v>
      </c>
      <c r="J453" s="22"/>
      <c r="K453" s="156">
        <v>5209.2914285714278</v>
      </c>
      <c r="L453" s="156">
        <v>9964.6698809523805</v>
      </c>
      <c r="M453" s="156">
        <v>15109.833452380952</v>
      </c>
      <c r="N453" s="156">
        <f t="shared" si="65"/>
        <v>19645.169999999998</v>
      </c>
    </row>
    <row r="454" spans="1:16">
      <c r="A454" s="165"/>
      <c r="B454" s="66"/>
      <c r="C454" s="66"/>
      <c r="D454" s="66"/>
      <c r="E454" s="66"/>
      <c r="F454" s="73" t="s">
        <v>542</v>
      </c>
      <c r="G454" s="66" t="s">
        <v>41</v>
      </c>
      <c r="H454" s="22">
        <f t="shared" si="66"/>
        <v>351</v>
      </c>
      <c r="I454" s="22">
        <v>351</v>
      </c>
      <c r="J454" s="22"/>
      <c r="K454" s="156">
        <v>83.571428571428569</v>
      </c>
      <c r="L454" s="156">
        <v>168.53571428571428</v>
      </c>
      <c r="M454" s="156">
        <v>260.46428571428572</v>
      </c>
      <c r="N454" s="156">
        <f t="shared" si="65"/>
        <v>351</v>
      </c>
    </row>
    <row r="455" spans="1:16">
      <c r="A455" s="165"/>
      <c r="B455" s="66"/>
      <c r="C455" s="66"/>
      <c r="D455" s="66"/>
      <c r="E455" s="66"/>
      <c r="F455" s="73" t="s">
        <v>553</v>
      </c>
      <c r="G455" s="66">
        <v>4251</v>
      </c>
      <c r="H455" s="22">
        <f t="shared" si="66"/>
        <v>1000</v>
      </c>
      <c r="I455" s="22">
        <v>1000</v>
      </c>
      <c r="J455" s="22"/>
      <c r="K455" s="156">
        <v>238.0952380952381</v>
      </c>
      <c r="L455" s="156">
        <v>480.15873015873018</v>
      </c>
      <c r="M455" s="156">
        <v>742.06349206349205</v>
      </c>
      <c r="N455" s="156">
        <f t="shared" si="65"/>
        <v>1000</v>
      </c>
    </row>
    <row r="456" spans="1:16" ht="27">
      <c r="A456" s="165"/>
      <c r="B456" s="66"/>
      <c r="C456" s="66"/>
      <c r="D456" s="66"/>
      <c r="E456" s="66"/>
      <c r="F456" s="73" t="s">
        <v>411</v>
      </c>
      <c r="G456" s="66" t="s">
        <v>43</v>
      </c>
      <c r="H456" s="22">
        <f t="shared" si="66"/>
        <v>2209</v>
      </c>
      <c r="I456" s="22">
        <v>2209</v>
      </c>
      <c r="J456" s="22"/>
      <c r="K456" s="156">
        <v>525.95238095238096</v>
      </c>
      <c r="L456" s="156">
        <v>1060.6706349206349</v>
      </c>
      <c r="M456" s="156">
        <v>1639.218253968254</v>
      </c>
      <c r="N456" s="156">
        <f t="shared" si="65"/>
        <v>2209</v>
      </c>
    </row>
    <row r="457" spans="1:16" ht="33.75" customHeight="1">
      <c r="A457" s="165"/>
      <c r="B457" s="66"/>
      <c r="C457" s="66"/>
      <c r="D457" s="66"/>
      <c r="E457" s="66"/>
      <c r="F457" s="73" t="s">
        <v>554</v>
      </c>
      <c r="G457" s="66">
        <v>4264</v>
      </c>
      <c r="H457" s="22">
        <f t="shared" si="66"/>
        <v>56266.415999999997</v>
      </c>
      <c r="I457" s="22">
        <f>52387.1+3879.316</f>
        <v>56266.415999999997</v>
      </c>
      <c r="J457" s="22"/>
      <c r="K457" s="156">
        <v>19895.129333333331</v>
      </c>
      <c r="L457" s="156">
        <v>36177.872888888887</v>
      </c>
      <c r="M457" s="156">
        <v>53795.267555555547</v>
      </c>
      <c r="N457" s="156">
        <f t="shared" si="65"/>
        <v>56266.415999999997</v>
      </c>
    </row>
    <row r="458" spans="1:16">
      <c r="A458" s="165"/>
      <c r="B458" s="66"/>
      <c r="C458" s="66"/>
      <c r="D458" s="66"/>
      <c r="E458" s="66"/>
      <c r="F458" s="73" t="s">
        <v>169</v>
      </c>
      <c r="G458" s="66">
        <v>4269</v>
      </c>
      <c r="H458" s="22">
        <f t="shared" si="66"/>
        <v>36763.489000000001</v>
      </c>
      <c r="I458" s="22">
        <v>36763.489000000001</v>
      </c>
      <c r="J458" s="22"/>
      <c r="K458" s="156">
        <v>15370.486380952381</v>
      </c>
      <c r="L458" s="156">
        <v>24995.775384920635</v>
      </c>
      <c r="M458" s="156">
        <v>39763.5</v>
      </c>
      <c r="N458" s="156">
        <f t="shared" si="65"/>
        <v>36763.489000000001</v>
      </c>
      <c r="P458" s="165"/>
    </row>
    <row r="459" spans="1:16" ht="27">
      <c r="A459" s="165"/>
      <c r="B459" s="66"/>
      <c r="C459" s="66"/>
      <c r="D459" s="66"/>
      <c r="E459" s="66"/>
      <c r="F459" s="73" t="s">
        <v>555</v>
      </c>
      <c r="G459" s="66">
        <v>4521</v>
      </c>
      <c r="H459" s="22">
        <f t="shared" si="66"/>
        <v>500</v>
      </c>
      <c r="I459" s="22">
        <v>500</v>
      </c>
      <c r="J459" s="22"/>
      <c r="K459" s="156">
        <v>0</v>
      </c>
      <c r="L459" s="156">
        <v>0</v>
      </c>
      <c r="M459" s="156">
        <v>0</v>
      </c>
      <c r="N459" s="156">
        <f t="shared" si="65"/>
        <v>500</v>
      </c>
    </row>
    <row r="460" spans="1:16">
      <c r="A460" s="165"/>
      <c r="B460" s="66"/>
      <c r="C460" s="66"/>
      <c r="D460" s="66"/>
      <c r="E460" s="66"/>
      <c r="F460" s="73" t="s">
        <v>580</v>
      </c>
      <c r="G460" s="66" t="s">
        <v>59</v>
      </c>
      <c r="H460" s="22">
        <v>0</v>
      </c>
      <c r="I460" s="22"/>
      <c r="J460" s="22"/>
      <c r="K460" s="156">
        <v>0</v>
      </c>
      <c r="L460" s="156">
        <v>0</v>
      </c>
      <c r="M460" s="156">
        <v>0</v>
      </c>
      <c r="N460" s="156">
        <f t="shared" si="65"/>
        <v>0</v>
      </c>
    </row>
    <row r="461" spans="1:16" ht="27">
      <c r="A461" s="165"/>
      <c r="B461" s="66"/>
      <c r="C461" s="66"/>
      <c r="D461" s="66"/>
      <c r="E461" s="66"/>
      <c r="F461" s="73" t="s">
        <v>599</v>
      </c>
      <c r="G461" s="66" t="s">
        <v>92</v>
      </c>
      <c r="H461" s="22">
        <f t="shared" ref="H461" si="67">SUM(I461:J461)</f>
        <v>650283.53879999882</v>
      </c>
      <c r="I461" s="22"/>
      <c r="J461" s="22">
        <f>11000+236931.083+56446.271+34701+152000+180000-20794.8152000012</f>
        <v>650283.53879999882</v>
      </c>
      <c r="K461" s="156">
        <v>419628.58066704718</v>
      </c>
      <c r="L461" s="156">
        <v>542917.63767777733</v>
      </c>
      <c r="M461" s="156">
        <f>587454.45194924+3515.87301587313</f>
        <v>590970.32496511319</v>
      </c>
      <c r="N461" s="156">
        <f t="shared" si="65"/>
        <v>650283.53879999882</v>
      </c>
    </row>
    <row r="462" spans="1:16">
      <c r="A462" s="165"/>
      <c r="B462" s="66"/>
      <c r="C462" s="66"/>
      <c r="D462" s="66"/>
      <c r="E462" s="66"/>
      <c r="F462" s="73" t="s">
        <v>587</v>
      </c>
      <c r="G462" s="66">
        <v>5112</v>
      </c>
      <c r="H462" s="22">
        <v>0</v>
      </c>
      <c r="I462" s="22"/>
      <c r="J462" s="22"/>
      <c r="K462" s="156">
        <v>0</v>
      </c>
      <c r="L462" s="156">
        <v>0</v>
      </c>
      <c r="M462" s="156">
        <v>0</v>
      </c>
      <c r="N462" s="156">
        <f t="shared" si="65"/>
        <v>0</v>
      </c>
    </row>
    <row r="463" spans="1:16">
      <c r="A463" s="165"/>
      <c r="B463" s="66"/>
      <c r="C463" s="66"/>
      <c r="D463" s="66"/>
      <c r="E463" s="66"/>
      <c r="F463" s="73" t="s">
        <v>185</v>
      </c>
      <c r="G463" s="66">
        <v>5122</v>
      </c>
      <c r="H463" s="22">
        <v>0</v>
      </c>
      <c r="I463" s="22"/>
      <c r="J463" s="22"/>
      <c r="K463" s="156">
        <v>0</v>
      </c>
      <c r="L463" s="156">
        <v>0</v>
      </c>
      <c r="M463" s="156">
        <v>0</v>
      </c>
      <c r="N463" s="156">
        <f t="shared" si="65"/>
        <v>0</v>
      </c>
    </row>
    <row r="464" spans="1:16">
      <c r="A464" s="165"/>
      <c r="B464" s="66"/>
      <c r="C464" s="66"/>
      <c r="D464" s="66"/>
      <c r="E464" s="66"/>
      <c r="F464" s="73" t="s">
        <v>556</v>
      </c>
      <c r="G464" s="66">
        <v>5129</v>
      </c>
      <c r="H464" s="22">
        <f t="shared" ref="H464:H465" si="68">SUM(I464:J464)</f>
        <v>116007.82399999999</v>
      </c>
      <c r="I464" s="22"/>
      <c r="J464" s="22">
        <f>1000+3500+34200+10230+1247.6+10830.224+55000</f>
        <v>116007.82399999999</v>
      </c>
      <c r="K464" s="156">
        <v>25355.896380952381</v>
      </c>
      <c r="L464" s="156">
        <v>40123.663301587301</v>
      </c>
      <c r="M464" s="156">
        <v>86101.902920634893</v>
      </c>
      <c r="N464" s="156">
        <f t="shared" si="65"/>
        <v>116007.82399999999</v>
      </c>
    </row>
    <row r="465" spans="1:14">
      <c r="A465" s="165"/>
      <c r="B465" s="66"/>
      <c r="C465" s="66"/>
      <c r="D465" s="66"/>
      <c r="E465" s="66"/>
      <c r="F465" s="73" t="s">
        <v>755</v>
      </c>
      <c r="G465" s="66" t="s">
        <v>99</v>
      </c>
      <c r="H465" s="22">
        <f t="shared" si="68"/>
        <v>20448.667000000001</v>
      </c>
      <c r="I465" s="22"/>
      <c r="J465" s="22">
        <f>14773.95+1098.317+825+2430+268.4+1053</f>
        <v>20448.667000000001</v>
      </c>
      <c r="K465" s="156">
        <v>4868.7302380952387</v>
      </c>
      <c r="L465" s="156">
        <v>9818.6059801587307</v>
      </c>
      <c r="M465" s="156">
        <v>15174.209242063494</v>
      </c>
      <c r="N465" s="156">
        <f t="shared" si="65"/>
        <v>20448.667000000001</v>
      </c>
    </row>
    <row r="466" spans="1:14">
      <c r="A466" s="165"/>
      <c r="B466" s="66"/>
      <c r="C466" s="66"/>
      <c r="D466" s="66"/>
      <c r="E466" s="66"/>
      <c r="F466" s="73"/>
      <c r="G466" s="66"/>
      <c r="H466" s="22"/>
      <c r="I466" s="22"/>
      <c r="J466" s="22"/>
      <c r="K466" s="22"/>
      <c r="L466" s="22"/>
      <c r="M466" s="22"/>
      <c r="N466" s="22"/>
    </row>
    <row r="467" spans="1:14" ht="36" customHeight="1">
      <c r="A467" s="165"/>
      <c r="B467" s="66">
        <v>2700</v>
      </c>
      <c r="C467" s="66" t="s">
        <v>12</v>
      </c>
      <c r="D467" s="66">
        <v>0</v>
      </c>
      <c r="E467" s="66">
        <v>0</v>
      </c>
      <c r="F467" s="73" t="s">
        <v>293</v>
      </c>
      <c r="G467" s="66"/>
      <c r="H467" s="22"/>
      <c r="I467" s="22"/>
      <c r="J467" s="22"/>
      <c r="K467" s="22"/>
      <c r="L467" s="22"/>
      <c r="M467" s="22"/>
      <c r="N467" s="22"/>
    </row>
    <row r="468" spans="1:14">
      <c r="A468" s="165"/>
      <c r="B468" s="66"/>
      <c r="C468" s="66"/>
      <c r="D468" s="66"/>
      <c r="E468" s="66"/>
      <c r="F468" s="73" t="s">
        <v>154</v>
      </c>
      <c r="G468" s="66"/>
      <c r="H468" s="22"/>
      <c r="I468" s="22"/>
      <c r="J468" s="22"/>
      <c r="K468" s="22"/>
      <c r="L468" s="22"/>
      <c r="M468" s="22"/>
      <c r="N468" s="22"/>
    </row>
    <row r="469" spans="1:14" ht="27">
      <c r="A469" s="165"/>
      <c r="B469" s="66">
        <v>2710</v>
      </c>
      <c r="C469" s="66" t="s">
        <v>12</v>
      </c>
      <c r="D469" s="66">
        <v>1</v>
      </c>
      <c r="E469" s="66">
        <v>0</v>
      </c>
      <c r="F469" s="73" t="s">
        <v>294</v>
      </c>
      <c r="G469" s="66"/>
      <c r="H469" s="22"/>
      <c r="I469" s="22"/>
      <c r="J469" s="22"/>
      <c r="K469" s="22"/>
      <c r="L469" s="22"/>
      <c r="M469" s="22"/>
      <c r="N469" s="22"/>
    </row>
    <row r="470" spans="1:14" ht="51.75" customHeight="1">
      <c r="A470" s="165"/>
      <c r="B470" s="66"/>
      <c r="C470" s="66"/>
      <c r="D470" s="66"/>
      <c r="E470" s="66"/>
      <c r="F470" s="73" t="s">
        <v>156</v>
      </c>
      <c r="G470" s="66"/>
      <c r="H470" s="22"/>
      <c r="I470" s="22"/>
      <c r="J470" s="22"/>
      <c r="K470" s="22"/>
      <c r="L470" s="22"/>
      <c r="M470" s="22"/>
      <c r="N470" s="22"/>
    </row>
    <row r="471" spans="1:14">
      <c r="A471" s="165"/>
      <c r="B471" s="66">
        <v>2711</v>
      </c>
      <c r="C471" s="66" t="s">
        <v>12</v>
      </c>
      <c r="D471" s="66">
        <v>1</v>
      </c>
      <c r="E471" s="66">
        <v>1</v>
      </c>
      <c r="F471" s="73" t="s">
        <v>295</v>
      </c>
      <c r="G471" s="66"/>
      <c r="H471" s="22"/>
      <c r="I471" s="22"/>
      <c r="J471" s="22"/>
      <c r="K471" s="22"/>
      <c r="L471" s="22"/>
      <c r="M471" s="22"/>
      <c r="N471" s="22"/>
    </row>
    <row r="472" spans="1:14" ht="40.5">
      <c r="A472" s="165"/>
      <c r="B472" s="66"/>
      <c r="C472" s="66"/>
      <c r="D472" s="66"/>
      <c r="E472" s="66"/>
      <c r="F472" s="73" t="s">
        <v>177</v>
      </c>
      <c r="G472" s="66"/>
      <c r="H472" s="22"/>
      <c r="I472" s="22"/>
      <c r="J472" s="22"/>
      <c r="K472" s="22"/>
      <c r="L472" s="22"/>
      <c r="M472" s="22"/>
      <c r="N472" s="22"/>
    </row>
    <row r="473" spans="1:14">
      <c r="A473" s="165"/>
      <c r="B473" s="66"/>
      <c r="C473" s="66"/>
      <c r="D473" s="66"/>
      <c r="E473" s="66"/>
      <c r="F473" s="73" t="s">
        <v>178</v>
      </c>
      <c r="G473" s="66"/>
      <c r="H473" s="22"/>
      <c r="I473" s="22"/>
      <c r="J473" s="22"/>
      <c r="K473" s="22"/>
      <c r="L473" s="22"/>
      <c r="M473" s="22"/>
      <c r="N473" s="22"/>
    </row>
    <row r="474" spans="1:14" ht="60" customHeight="1">
      <c r="A474" s="165"/>
      <c r="B474" s="66"/>
      <c r="C474" s="66"/>
      <c r="D474" s="66"/>
      <c r="E474" s="66"/>
      <c r="F474" s="73" t="s">
        <v>178</v>
      </c>
      <c r="G474" s="66"/>
      <c r="H474" s="22"/>
      <c r="I474" s="22"/>
      <c r="J474" s="22"/>
      <c r="K474" s="22"/>
      <c r="L474" s="22"/>
      <c r="M474" s="22"/>
      <c r="N474" s="22"/>
    </row>
    <row r="475" spans="1:14">
      <c r="A475" s="165"/>
      <c r="B475" s="66">
        <v>2712</v>
      </c>
      <c r="C475" s="66" t="s">
        <v>12</v>
      </c>
      <c r="D475" s="66">
        <v>1</v>
      </c>
      <c r="E475" s="66">
        <v>2</v>
      </c>
      <c r="F475" s="73" t="s">
        <v>296</v>
      </c>
      <c r="G475" s="66"/>
      <c r="H475" s="22"/>
      <c r="I475" s="22"/>
      <c r="J475" s="22"/>
      <c r="K475" s="22"/>
      <c r="L475" s="22"/>
      <c r="M475" s="22"/>
      <c r="N475" s="22"/>
    </row>
    <row r="476" spans="1:14" ht="40.5">
      <c r="A476" s="165"/>
      <c r="B476" s="66"/>
      <c r="C476" s="66"/>
      <c r="D476" s="66"/>
      <c r="E476" s="66"/>
      <c r="F476" s="73" t="s">
        <v>177</v>
      </c>
      <c r="G476" s="66"/>
      <c r="H476" s="22"/>
      <c r="I476" s="22"/>
      <c r="J476" s="22"/>
      <c r="K476" s="22"/>
      <c r="L476" s="22"/>
      <c r="M476" s="22"/>
      <c r="N476" s="22"/>
    </row>
    <row r="477" spans="1:14">
      <c r="A477" s="165"/>
      <c r="B477" s="66"/>
      <c r="C477" s="66"/>
      <c r="D477" s="66"/>
      <c r="E477" s="66"/>
      <c r="F477" s="73" t="s">
        <v>178</v>
      </c>
      <c r="G477" s="66"/>
      <c r="H477" s="22"/>
      <c r="I477" s="22"/>
      <c r="J477" s="22"/>
      <c r="K477" s="22"/>
      <c r="L477" s="22"/>
      <c r="M477" s="22"/>
      <c r="N477" s="22"/>
    </row>
    <row r="478" spans="1:14" ht="54" customHeight="1">
      <c r="A478" s="165"/>
      <c r="B478" s="66"/>
      <c r="C478" s="66"/>
      <c r="D478" s="66"/>
      <c r="E478" s="66"/>
      <c r="F478" s="73" t="s">
        <v>178</v>
      </c>
      <c r="G478" s="66"/>
      <c r="H478" s="22"/>
      <c r="I478" s="22"/>
      <c r="J478" s="22"/>
      <c r="K478" s="22"/>
      <c r="L478" s="22"/>
      <c r="M478" s="22"/>
      <c r="N478" s="22"/>
    </row>
    <row r="479" spans="1:14">
      <c r="A479" s="165"/>
      <c r="B479" s="66">
        <v>2713</v>
      </c>
      <c r="C479" s="66" t="s">
        <v>12</v>
      </c>
      <c r="D479" s="66">
        <v>1</v>
      </c>
      <c r="E479" s="66">
        <v>3</v>
      </c>
      <c r="F479" s="73" t="s">
        <v>297</v>
      </c>
      <c r="G479" s="66"/>
      <c r="H479" s="22"/>
      <c r="I479" s="22"/>
      <c r="J479" s="22"/>
      <c r="K479" s="22"/>
      <c r="L479" s="22"/>
      <c r="M479" s="22"/>
      <c r="N479" s="22"/>
    </row>
    <row r="480" spans="1:14" ht="40.5">
      <c r="A480" s="165"/>
      <c r="B480" s="66"/>
      <c r="C480" s="66"/>
      <c r="D480" s="66"/>
      <c r="E480" s="66"/>
      <c r="F480" s="73" t="s">
        <v>177</v>
      </c>
      <c r="G480" s="66"/>
      <c r="H480" s="22"/>
      <c r="I480" s="22"/>
      <c r="J480" s="22"/>
      <c r="K480" s="22"/>
      <c r="L480" s="22"/>
      <c r="M480" s="22"/>
      <c r="N480" s="22"/>
    </row>
    <row r="481" spans="1:14">
      <c r="A481" s="165"/>
      <c r="B481" s="66"/>
      <c r="C481" s="66"/>
      <c r="D481" s="66"/>
      <c r="E481" s="66"/>
      <c r="F481" s="73" t="s">
        <v>178</v>
      </c>
      <c r="G481" s="66"/>
      <c r="H481" s="22"/>
      <c r="I481" s="22"/>
      <c r="J481" s="22"/>
      <c r="K481" s="22"/>
      <c r="L481" s="22"/>
      <c r="M481" s="22"/>
      <c r="N481" s="22"/>
    </row>
    <row r="482" spans="1:14">
      <c r="A482" s="165"/>
      <c r="B482" s="66"/>
      <c r="C482" s="66"/>
      <c r="D482" s="66"/>
      <c r="E482" s="66"/>
      <c r="F482" s="73" t="s">
        <v>178</v>
      </c>
      <c r="G482" s="66"/>
      <c r="H482" s="22"/>
      <c r="I482" s="22"/>
      <c r="J482" s="22"/>
      <c r="K482" s="22"/>
      <c r="L482" s="22"/>
      <c r="M482" s="22"/>
      <c r="N482" s="22"/>
    </row>
    <row r="483" spans="1:14" ht="33.75" customHeight="1">
      <c r="A483" s="165"/>
      <c r="B483" s="66">
        <v>2720</v>
      </c>
      <c r="C483" s="66" t="s">
        <v>12</v>
      </c>
      <c r="D483" s="66">
        <v>2</v>
      </c>
      <c r="E483" s="66">
        <v>0</v>
      </c>
      <c r="F483" s="73" t="s">
        <v>298</v>
      </c>
      <c r="G483" s="66"/>
      <c r="H483" s="22"/>
      <c r="I483" s="22"/>
      <c r="J483" s="22"/>
      <c r="K483" s="22"/>
      <c r="L483" s="22"/>
      <c r="M483" s="22"/>
      <c r="N483" s="22"/>
    </row>
    <row r="484" spans="1:14" ht="53.25" customHeight="1">
      <c r="A484" s="165"/>
      <c r="B484" s="66"/>
      <c r="C484" s="66"/>
      <c r="D484" s="66"/>
      <c r="E484" s="66"/>
      <c r="F484" s="73" t="s">
        <v>156</v>
      </c>
      <c r="G484" s="66"/>
      <c r="H484" s="22"/>
      <c r="I484" s="22"/>
      <c r="J484" s="22"/>
      <c r="K484" s="22"/>
      <c r="L484" s="22"/>
      <c r="M484" s="22"/>
      <c r="N484" s="22"/>
    </row>
    <row r="485" spans="1:14">
      <c r="A485" s="165"/>
      <c r="B485" s="66">
        <v>2721</v>
      </c>
      <c r="C485" s="66" t="s">
        <v>12</v>
      </c>
      <c r="D485" s="66">
        <v>2</v>
      </c>
      <c r="E485" s="66">
        <v>1</v>
      </c>
      <c r="F485" s="73" t="s">
        <v>299</v>
      </c>
      <c r="G485" s="66"/>
      <c r="H485" s="22"/>
      <c r="I485" s="22"/>
      <c r="J485" s="22"/>
      <c r="K485" s="22"/>
      <c r="L485" s="22"/>
      <c r="M485" s="22"/>
      <c r="N485" s="22"/>
    </row>
    <row r="486" spans="1:14" ht="40.5">
      <c r="A486" s="165"/>
      <c r="B486" s="66"/>
      <c r="C486" s="66"/>
      <c r="D486" s="66"/>
      <c r="E486" s="66"/>
      <c r="F486" s="73" t="s">
        <v>177</v>
      </c>
      <c r="G486" s="66"/>
      <c r="H486" s="22"/>
      <c r="I486" s="22"/>
      <c r="J486" s="22"/>
      <c r="K486" s="22"/>
      <c r="L486" s="22"/>
      <c r="M486" s="22"/>
      <c r="N486" s="22"/>
    </row>
    <row r="487" spans="1:14">
      <c r="A487" s="165"/>
      <c r="B487" s="66"/>
      <c r="C487" s="66"/>
      <c r="D487" s="66"/>
      <c r="E487" s="66"/>
      <c r="F487" s="73" t="s">
        <v>178</v>
      </c>
      <c r="G487" s="66"/>
      <c r="H487" s="22"/>
      <c r="I487" s="22"/>
      <c r="J487" s="22"/>
      <c r="K487" s="22"/>
      <c r="L487" s="22"/>
      <c r="M487" s="22"/>
      <c r="N487" s="22"/>
    </row>
    <row r="488" spans="1:14" ht="51.75" customHeight="1">
      <c r="A488" s="165"/>
      <c r="B488" s="66"/>
      <c r="C488" s="66"/>
      <c r="D488" s="66"/>
      <c r="E488" s="66"/>
      <c r="F488" s="73" t="s">
        <v>178</v>
      </c>
      <c r="G488" s="66"/>
      <c r="H488" s="22"/>
      <c r="I488" s="22"/>
      <c r="J488" s="22"/>
      <c r="K488" s="22"/>
      <c r="L488" s="22"/>
      <c r="M488" s="22"/>
      <c r="N488" s="22"/>
    </row>
    <row r="489" spans="1:14">
      <c r="A489" s="165"/>
      <c r="B489" s="66">
        <v>2722</v>
      </c>
      <c r="C489" s="66" t="s">
        <v>12</v>
      </c>
      <c r="D489" s="66">
        <v>2</v>
      </c>
      <c r="E489" s="66">
        <v>2</v>
      </c>
      <c r="F489" s="73" t="s">
        <v>300</v>
      </c>
      <c r="G489" s="66"/>
      <c r="H489" s="22"/>
      <c r="I489" s="22"/>
      <c r="J489" s="22"/>
      <c r="K489" s="22"/>
      <c r="L489" s="22"/>
      <c r="M489" s="22"/>
      <c r="N489" s="22"/>
    </row>
    <row r="490" spans="1:14" ht="40.5">
      <c r="A490" s="165"/>
      <c r="B490" s="66"/>
      <c r="C490" s="66"/>
      <c r="D490" s="66"/>
      <c r="E490" s="66"/>
      <c r="F490" s="73" t="s">
        <v>177</v>
      </c>
      <c r="G490" s="66"/>
      <c r="H490" s="22"/>
      <c r="I490" s="22"/>
      <c r="J490" s="22"/>
      <c r="K490" s="22"/>
      <c r="L490" s="22"/>
      <c r="M490" s="22"/>
      <c r="N490" s="22"/>
    </row>
    <row r="491" spans="1:14">
      <c r="A491" s="165"/>
      <c r="B491" s="66"/>
      <c r="C491" s="66"/>
      <c r="D491" s="66"/>
      <c r="E491" s="66"/>
      <c r="F491" s="73" t="s">
        <v>178</v>
      </c>
      <c r="G491" s="66"/>
      <c r="H491" s="22"/>
      <c r="I491" s="22"/>
      <c r="J491" s="22"/>
      <c r="K491" s="22"/>
      <c r="L491" s="22"/>
      <c r="M491" s="22"/>
      <c r="N491" s="22"/>
    </row>
    <row r="492" spans="1:14" ht="53.25" customHeight="1">
      <c r="A492" s="165"/>
      <c r="B492" s="66"/>
      <c r="C492" s="66"/>
      <c r="D492" s="66"/>
      <c r="E492" s="66"/>
      <c r="F492" s="73" t="s">
        <v>178</v>
      </c>
      <c r="G492" s="66"/>
      <c r="H492" s="22"/>
      <c r="I492" s="22"/>
      <c r="J492" s="22"/>
      <c r="K492" s="22"/>
      <c r="L492" s="22"/>
      <c r="M492" s="22"/>
      <c r="N492" s="22"/>
    </row>
    <row r="493" spans="1:14">
      <c r="A493" s="165"/>
      <c r="B493" s="66">
        <v>2723</v>
      </c>
      <c r="C493" s="66" t="s">
        <v>12</v>
      </c>
      <c r="D493" s="66">
        <v>2</v>
      </c>
      <c r="E493" s="66">
        <v>3</v>
      </c>
      <c r="F493" s="73" t="s">
        <v>301</v>
      </c>
      <c r="G493" s="66"/>
      <c r="H493" s="22"/>
      <c r="I493" s="22"/>
      <c r="J493" s="22"/>
      <c r="K493" s="22"/>
      <c r="L493" s="22"/>
      <c r="M493" s="22"/>
      <c r="N493" s="22"/>
    </row>
    <row r="494" spans="1:14" ht="40.5">
      <c r="A494" s="165"/>
      <c r="B494" s="66"/>
      <c r="C494" s="66"/>
      <c r="D494" s="66"/>
      <c r="E494" s="66"/>
      <c r="F494" s="73" t="s">
        <v>177</v>
      </c>
      <c r="G494" s="66"/>
      <c r="H494" s="22"/>
      <c r="I494" s="22"/>
      <c r="J494" s="22"/>
      <c r="K494" s="22"/>
      <c r="L494" s="22"/>
      <c r="M494" s="22"/>
      <c r="N494" s="22"/>
    </row>
    <row r="495" spans="1:14">
      <c r="A495" s="165"/>
      <c r="B495" s="66"/>
      <c r="C495" s="66"/>
      <c r="D495" s="66"/>
      <c r="E495" s="66"/>
      <c r="F495" s="73" t="s">
        <v>178</v>
      </c>
      <c r="G495" s="66"/>
      <c r="H495" s="22"/>
      <c r="I495" s="22"/>
      <c r="J495" s="22"/>
      <c r="K495" s="22"/>
      <c r="L495" s="22"/>
      <c r="M495" s="22"/>
      <c r="N495" s="22"/>
    </row>
    <row r="496" spans="1:14" ht="54.75" customHeight="1">
      <c r="A496" s="165"/>
      <c r="B496" s="66"/>
      <c r="C496" s="66"/>
      <c r="D496" s="66"/>
      <c r="E496" s="66"/>
      <c r="F496" s="73" t="s">
        <v>178</v>
      </c>
      <c r="G496" s="66"/>
      <c r="H496" s="22"/>
      <c r="I496" s="22"/>
      <c r="J496" s="22"/>
      <c r="K496" s="22"/>
      <c r="L496" s="22"/>
      <c r="M496" s="22"/>
      <c r="N496" s="22"/>
    </row>
    <row r="497" spans="1:14">
      <c r="A497" s="165"/>
      <c r="B497" s="66">
        <v>2724</v>
      </c>
      <c r="C497" s="66" t="s">
        <v>12</v>
      </c>
      <c r="D497" s="66">
        <v>2</v>
      </c>
      <c r="E497" s="66">
        <v>4</v>
      </c>
      <c r="F497" s="73" t="s">
        <v>302</v>
      </c>
      <c r="G497" s="66"/>
      <c r="H497" s="22"/>
      <c r="I497" s="22"/>
      <c r="J497" s="22"/>
      <c r="K497" s="22"/>
      <c r="L497" s="22"/>
      <c r="M497" s="22"/>
      <c r="N497" s="22"/>
    </row>
    <row r="498" spans="1:14" ht="40.5">
      <c r="A498" s="165"/>
      <c r="B498" s="66"/>
      <c r="C498" s="66"/>
      <c r="D498" s="66"/>
      <c r="E498" s="66"/>
      <c r="F498" s="73" t="s">
        <v>177</v>
      </c>
      <c r="G498" s="66"/>
      <c r="H498" s="22"/>
      <c r="I498" s="22"/>
      <c r="J498" s="22"/>
      <c r="K498" s="22"/>
      <c r="L498" s="22"/>
      <c r="M498" s="22"/>
      <c r="N498" s="22"/>
    </row>
    <row r="499" spans="1:14">
      <c r="A499" s="165"/>
      <c r="B499" s="66"/>
      <c r="C499" s="66"/>
      <c r="D499" s="66"/>
      <c r="E499" s="66"/>
      <c r="F499" s="73" t="s">
        <v>178</v>
      </c>
      <c r="G499" s="66"/>
      <c r="H499" s="22"/>
      <c r="I499" s="22"/>
      <c r="J499" s="22"/>
      <c r="K499" s="22"/>
      <c r="L499" s="22"/>
      <c r="M499" s="22"/>
      <c r="N499" s="22"/>
    </row>
    <row r="500" spans="1:14">
      <c r="A500" s="165"/>
      <c r="B500" s="66"/>
      <c r="C500" s="66"/>
      <c r="D500" s="66"/>
      <c r="E500" s="66"/>
      <c r="F500" s="73" t="s">
        <v>178</v>
      </c>
      <c r="G500" s="66"/>
      <c r="H500" s="22"/>
      <c r="I500" s="22"/>
      <c r="J500" s="22"/>
      <c r="K500" s="22"/>
      <c r="L500" s="22"/>
      <c r="M500" s="22"/>
      <c r="N500" s="22"/>
    </row>
    <row r="501" spans="1:14" ht="40.5" customHeight="1">
      <c r="A501" s="165"/>
      <c r="B501" s="66">
        <v>2730</v>
      </c>
      <c r="C501" s="66" t="s">
        <v>12</v>
      </c>
      <c r="D501" s="66">
        <v>3</v>
      </c>
      <c r="E501" s="66">
        <v>0</v>
      </c>
      <c r="F501" s="73" t="s">
        <v>303</v>
      </c>
      <c r="G501" s="66"/>
      <c r="H501" s="22"/>
      <c r="I501" s="22"/>
      <c r="J501" s="22"/>
      <c r="K501" s="22"/>
      <c r="L501" s="22"/>
      <c r="M501" s="22"/>
      <c r="N501" s="22"/>
    </row>
    <row r="502" spans="1:14" ht="52.5" customHeight="1">
      <c r="A502" s="165"/>
      <c r="B502" s="66"/>
      <c r="C502" s="66"/>
      <c r="D502" s="66"/>
      <c r="E502" s="66"/>
      <c r="F502" s="73" t="s">
        <v>156</v>
      </c>
      <c r="G502" s="66"/>
      <c r="H502" s="22"/>
      <c r="I502" s="22"/>
      <c r="J502" s="22"/>
      <c r="K502" s="22"/>
      <c r="L502" s="22"/>
      <c r="M502" s="22"/>
      <c r="N502" s="22"/>
    </row>
    <row r="503" spans="1:14" ht="27">
      <c r="A503" s="165"/>
      <c r="B503" s="66">
        <v>2731</v>
      </c>
      <c r="C503" s="66" t="s">
        <v>12</v>
      </c>
      <c r="D503" s="66">
        <v>3</v>
      </c>
      <c r="E503" s="66">
        <v>1</v>
      </c>
      <c r="F503" s="73" t="s">
        <v>304</v>
      </c>
      <c r="G503" s="66"/>
      <c r="H503" s="22"/>
      <c r="I503" s="22"/>
      <c r="J503" s="22"/>
      <c r="K503" s="22"/>
      <c r="L503" s="22"/>
      <c r="M503" s="22"/>
      <c r="N503" s="22"/>
    </row>
    <row r="504" spans="1:14" ht="40.5">
      <c r="A504" s="165"/>
      <c r="B504" s="66"/>
      <c r="C504" s="66"/>
      <c r="D504" s="66"/>
      <c r="E504" s="66"/>
      <c r="F504" s="73" t="s">
        <v>177</v>
      </c>
      <c r="G504" s="66"/>
      <c r="H504" s="22"/>
      <c r="I504" s="22"/>
      <c r="J504" s="22"/>
      <c r="K504" s="22"/>
      <c r="L504" s="22"/>
      <c r="M504" s="22"/>
      <c r="N504" s="22"/>
    </row>
    <row r="505" spans="1:14" ht="37.5" customHeight="1">
      <c r="A505" s="165"/>
      <c r="B505" s="66"/>
      <c r="C505" s="66"/>
      <c r="D505" s="66"/>
      <c r="E505" s="66"/>
      <c r="F505" s="73" t="s">
        <v>178</v>
      </c>
      <c r="G505" s="66"/>
      <c r="H505" s="22"/>
      <c r="I505" s="22"/>
      <c r="J505" s="22"/>
      <c r="K505" s="22"/>
      <c r="L505" s="22"/>
      <c r="M505" s="22"/>
      <c r="N505" s="22"/>
    </row>
    <row r="506" spans="1:14" ht="57" customHeight="1">
      <c r="A506" s="165"/>
      <c r="B506" s="66"/>
      <c r="C506" s="66"/>
      <c r="D506" s="66"/>
      <c r="E506" s="66"/>
      <c r="F506" s="73" t="s">
        <v>178</v>
      </c>
      <c r="G506" s="66"/>
      <c r="H506" s="22"/>
      <c r="I506" s="22"/>
      <c r="J506" s="22"/>
      <c r="K506" s="22"/>
      <c r="L506" s="22"/>
      <c r="M506" s="22"/>
      <c r="N506" s="22"/>
    </row>
    <row r="507" spans="1:14" ht="27">
      <c r="A507" s="165"/>
      <c r="B507" s="66">
        <v>2732</v>
      </c>
      <c r="C507" s="66" t="s">
        <v>12</v>
      </c>
      <c r="D507" s="66">
        <v>3</v>
      </c>
      <c r="E507" s="66">
        <v>2</v>
      </c>
      <c r="F507" s="73" t="s">
        <v>305</v>
      </c>
      <c r="G507" s="66"/>
      <c r="H507" s="22"/>
      <c r="I507" s="22"/>
      <c r="J507" s="22"/>
      <c r="K507" s="22"/>
      <c r="L507" s="22"/>
      <c r="M507" s="22"/>
      <c r="N507" s="22"/>
    </row>
    <row r="508" spans="1:14" ht="40.5">
      <c r="A508" s="165"/>
      <c r="B508" s="66"/>
      <c r="C508" s="66"/>
      <c r="D508" s="66"/>
      <c r="E508" s="66"/>
      <c r="F508" s="73" t="s">
        <v>177</v>
      </c>
      <c r="G508" s="66"/>
      <c r="H508" s="22"/>
      <c r="I508" s="22"/>
      <c r="J508" s="22"/>
      <c r="K508" s="22"/>
      <c r="L508" s="22"/>
      <c r="M508" s="22"/>
      <c r="N508" s="22"/>
    </row>
    <row r="509" spans="1:14" ht="33.75" customHeight="1">
      <c r="A509" s="165"/>
      <c r="B509" s="66"/>
      <c r="C509" s="66"/>
      <c r="D509" s="66"/>
      <c r="E509" s="66"/>
      <c r="F509" s="73" t="s">
        <v>178</v>
      </c>
      <c r="G509" s="66"/>
      <c r="H509" s="22"/>
      <c r="I509" s="22"/>
      <c r="J509" s="22"/>
      <c r="K509" s="22"/>
      <c r="L509" s="22"/>
      <c r="M509" s="22"/>
      <c r="N509" s="22"/>
    </row>
    <row r="510" spans="1:14" ht="53.25" customHeight="1">
      <c r="A510" s="165"/>
      <c r="B510" s="66"/>
      <c r="C510" s="66"/>
      <c r="D510" s="66"/>
      <c r="E510" s="66"/>
      <c r="F510" s="73" t="s">
        <v>178</v>
      </c>
      <c r="G510" s="66"/>
      <c r="H510" s="22"/>
      <c r="I510" s="22"/>
      <c r="J510" s="22"/>
      <c r="K510" s="22"/>
      <c r="L510" s="22"/>
      <c r="M510" s="22"/>
      <c r="N510" s="22"/>
    </row>
    <row r="511" spans="1:14" ht="27">
      <c r="A511" s="165"/>
      <c r="B511" s="66">
        <v>2733</v>
      </c>
      <c r="C511" s="66" t="s">
        <v>12</v>
      </c>
      <c r="D511" s="66">
        <v>3</v>
      </c>
      <c r="E511" s="66">
        <v>3</v>
      </c>
      <c r="F511" s="73" t="s">
        <v>306</v>
      </c>
      <c r="G511" s="66"/>
      <c r="H511" s="22"/>
      <c r="I511" s="22"/>
      <c r="J511" s="22"/>
      <c r="K511" s="22"/>
      <c r="L511" s="22"/>
      <c r="M511" s="22"/>
      <c r="N511" s="22"/>
    </row>
    <row r="512" spans="1:14" ht="40.5">
      <c r="A512" s="165"/>
      <c r="B512" s="66"/>
      <c r="C512" s="66"/>
      <c r="D512" s="66"/>
      <c r="E512" s="66"/>
      <c r="F512" s="73" t="s">
        <v>177</v>
      </c>
      <c r="G512" s="66"/>
      <c r="H512" s="22"/>
      <c r="I512" s="22"/>
      <c r="J512" s="22"/>
      <c r="K512" s="22"/>
      <c r="L512" s="22"/>
      <c r="M512" s="22"/>
      <c r="N512" s="22"/>
    </row>
    <row r="513" spans="1:14" ht="40.5" customHeight="1">
      <c r="A513" s="165"/>
      <c r="B513" s="66"/>
      <c r="C513" s="66"/>
      <c r="D513" s="66"/>
      <c r="E513" s="66"/>
      <c r="F513" s="73" t="s">
        <v>178</v>
      </c>
      <c r="G513" s="66"/>
      <c r="H513" s="22"/>
      <c r="I513" s="22"/>
      <c r="J513" s="22"/>
      <c r="K513" s="22"/>
      <c r="L513" s="22"/>
      <c r="M513" s="22"/>
      <c r="N513" s="22"/>
    </row>
    <row r="514" spans="1:14" ht="52.5" customHeight="1">
      <c r="A514" s="165"/>
      <c r="B514" s="66"/>
      <c r="C514" s="66"/>
      <c r="D514" s="66"/>
      <c r="E514" s="66"/>
      <c r="F514" s="73" t="s">
        <v>178</v>
      </c>
      <c r="G514" s="66"/>
      <c r="H514" s="22"/>
      <c r="I514" s="22"/>
      <c r="J514" s="22"/>
      <c r="K514" s="22"/>
      <c r="L514" s="22"/>
      <c r="M514" s="22"/>
      <c r="N514" s="22"/>
    </row>
    <row r="515" spans="1:14" ht="27">
      <c r="A515" s="165"/>
      <c r="B515" s="66">
        <v>2734</v>
      </c>
      <c r="C515" s="66" t="s">
        <v>12</v>
      </c>
      <c r="D515" s="66">
        <v>3</v>
      </c>
      <c r="E515" s="66">
        <v>4</v>
      </c>
      <c r="F515" s="73" t="s">
        <v>307</v>
      </c>
      <c r="G515" s="66"/>
      <c r="H515" s="22"/>
      <c r="I515" s="22"/>
      <c r="J515" s="22"/>
      <c r="K515" s="22"/>
      <c r="L515" s="22"/>
      <c r="M515" s="22"/>
      <c r="N515" s="22"/>
    </row>
    <row r="516" spans="1:14" ht="40.5">
      <c r="A516" s="165"/>
      <c r="B516" s="66"/>
      <c r="C516" s="66"/>
      <c r="D516" s="66"/>
      <c r="E516" s="66"/>
      <c r="F516" s="73" t="s">
        <v>177</v>
      </c>
      <c r="G516" s="66"/>
      <c r="H516" s="22"/>
      <c r="I516" s="22"/>
      <c r="J516" s="22"/>
      <c r="K516" s="22"/>
      <c r="L516" s="22"/>
      <c r="M516" s="22"/>
      <c r="N516" s="22"/>
    </row>
    <row r="517" spans="1:14">
      <c r="A517" s="165"/>
      <c r="B517" s="66"/>
      <c r="C517" s="66"/>
      <c r="D517" s="66"/>
      <c r="E517" s="66"/>
      <c r="F517" s="73" t="s">
        <v>178</v>
      </c>
      <c r="G517" s="66"/>
      <c r="H517" s="22"/>
      <c r="I517" s="22"/>
      <c r="J517" s="22"/>
      <c r="K517" s="22"/>
      <c r="L517" s="22"/>
      <c r="M517" s="22"/>
      <c r="N517" s="22"/>
    </row>
    <row r="518" spans="1:14">
      <c r="A518" s="165"/>
      <c r="B518" s="66"/>
      <c r="C518" s="66"/>
      <c r="D518" s="66"/>
      <c r="E518" s="66"/>
      <c r="F518" s="73" t="s">
        <v>178</v>
      </c>
      <c r="G518" s="66"/>
      <c r="H518" s="22"/>
      <c r="I518" s="22"/>
      <c r="J518" s="22"/>
      <c r="K518" s="22"/>
      <c r="L518" s="22"/>
      <c r="M518" s="22"/>
      <c r="N518" s="22"/>
    </row>
    <row r="519" spans="1:14">
      <c r="A519" s="165"/>
      <c r="B519" s="66">
        <v>2740</v>
      </c>
      <c r="C519" s="66" t="s">
        <v>12</v>
      </c>
      <c r="D519" s="66">
        <v>4</v>
      </c>
      <c r="E519" s="66">
        <v>0</v>
      </c>
      <c r="F519" s="73" t="s">
        <v>308</v>
      </c>
      <c r="G519" s="66"/>
      <c r="H519" s="22"/>
      <c r="I519" s="22"/>
      <c r="J519" s="22"/>
      <c r="K519" s="22"/>
      <c r="L519" s="22"/>
      <c r="M519" s="22"/>
      <c r="N519" s="22"/>
    </row>
    <row r="520" spans="1:14" ht="53.25" customHeight="1">
      <c r="A520" s="165"/>
      <c r="B520" s="66"/>
      <c r="C520" s="66"/>
      <c r="D520" s="66"/>
      <c r="E520" s="66"/>
      <c r="F520" s="73" t="s">
        <v>156</v>
      </c>
      <c r="G520" s="66"/>
      <c r="H520" s="22"/>
      <c r="I520" s="22"/>
      <c r="J520" s="22"/>
      <c r="K520" s="22"/>
      <c r="L520" s="22"/>
      <c r="M520" s="22"/>
      <c r="N520" s="22"/>
    </row>
    <row r="521" spans="1:14">
      <c r="A521" s="165"/>
      <c r="B521" s="66">
        <v>2741</v>
      </c>
      <c r="C521" s="66" t="s">
        <v>12</v>
      </c>
      <c r="D521" s="66">
        <v>4</v>
      </c>
      <c r="E521" s="66">
        <v>1</v>
      </c>
      <c r="F521" s="73" t="s">
        <v>308</v>
      </c>
      <c r="G521" s="66"/>
      <c r="H521" s="22"/>
      <c r="I521" s="22"/>
      <c r="J521" s="22"/>
      <c r="K521" s="22"/>
      <c r="L521" s="22"/>
      <c r="M521" s="22"/>
      <c r="N521" s="22"/>
    </row>
    <row r="522" spans="1:14" ht="40.5">
      <c r="A522" s="165"/>
      <c r="B522" s="66"/>
      <c r="C522" s="66"/>
      <c r="D522" s="66"/>
      <c r="E522" s="66"/>
      <c r="F522" s="73" t="s">
        <v>177</v>
      </c>
      <c r="G522" s="66"/>
      <c r="H522" s="22"/>
      <c r="I522" s="22"/>
      <c r="J522" s="22"/>
      <c r="K522" s="22"/>
      <c r="L522" s="22"/>
      <c r="M522" s="22"/>
      <c r="N522" s="22"/>
    </row>
    <row r="523" spans="1:14" ht="39.75" customHeight="1">
      <c r="A523" s="165"/>
      <c r="B523" s="66"/>
      <c r="C523" s="66"/>
      <c r="D523" s="66"/>
      <c r="E523" s="66"/>
      <c r="F523" s="73" t="s">
        <v>178</v>
      </c>
      <c r="G523" s="66"/>
      <c r="H523" s="22"/>
      <c r="I523" s="22"/>
      <c r="J523" s="22"/>
      <c r="K523" s="22"/>
      <c r="L523" s="22"/>
      <c r="M523" s="22"/>
      <c r="N523" s="22"/>
    </row>
    <row r="524" spans="1:14">
      <c r="A524" s="165"/>
      <c r="B524" s="66"/>
      <c r="C524" s="66"/>
      <c r="D524" s="66"/>
      <c r="E524" s="66"/>
      <c r="F524" s="73" t="s">
        <v>178</v>
      </c>
      <c r="G524" s="66"/>
      <c r="H524" s="22"/>
      <c r="I524" s="22"/>
      <c r="J524" s="22"/>
      <c r="K524" s="22"/>
      <c r="L524" s="22"/>
      <c r="M524" s="22"/>
      <c r="N524" s="22"/>
    </row>
    <row r="525" spans="1:14" ht="42.75" customHeight="1">
      <c r="A525" s="165"/>
      <c r="B525" s="66">
        <v>2750</v>
      </c>
      <c r="C525" s="66" t="s">
        <v>12</v>
      </c>
      <c r="D525" s="66">
        <v>5</v>
      </c>
      <c r="E525" s="66">
        <v>0</v>
      </c>
      <c r="F525" s="73" t="s">
        <v>309</v>
      </c>
      <c r="G525" s="66"/>
      <c r="H525" s="22"/>
      <c r="I525" s="22"/>
      <c r="J525" s="22"/>
      <c r="K525" s="22"/>
      <c r="L525" s="22"/>
      <c r="M525" s="22"/>
      <c r="N525" s="22"/>
    </row>
    <row r="526" spans="1:14" ht="51" customHeight="1">
      <c r="A526" s="165"/>
      <c r="B526" s="66"/>
      <c r="C526" s="66"/>
      <c r="D526" s="66"/>
      <c r="E526" s="66"/>
      <c r="F526" s="73" t="s">
        <v>156</v>
      </c>
      <c r="G526" s="66"/>
      <c r="H526" s="22"/>
      <c r="I526" s="22"/>
      <c r="J526" s="22"/>
      <c r="K526" s="22"/>
      <c r="L526" s="22"/>
      <c r="M526" s="22"/>
      <c r="N526" s="22"/>
    </row>
    <row r="527" spans="1:14" ht="27">
      <c r="A527" s="165"/>
      <c r="B527" s="66">
        <v>2751</v>
      </c>
      <c r="C527" s="66" t="s">
        <v>12</v>
      </c>
      <c r="D527" s="66">
        <v>5</v>
      </c>
      <c r="E527" s="66">
        <v>1</v>
      </c>
      <c r="F527" s="73" t="s">
        <v>309</v>
      </c>
      <c r="G527" s="66"/>
      <c r="H527" s="22"/>
      <c r="I527" s="22"/>
      <c r="J527" s="22"/>
      <c r="K527" s="22"/>
      <c r="L527" s="22"/>
      <c r="M527" s="22"/>
      <c r="N527" s="22"/>
    </row>
    <row r="528" spans="1:14" ht="40.5">
      <c r="A528" s="165"/>
      <c r="B528" s="66"/>
      <c r="C528" s="66"/>
      <c r="D528" s="66"/>
      <c r="E528" s="66"/>
      <c r="F528" s="73" t="s">
        <v>177</v>
      </c>
      <c r="G528" s="66"/>
      <c r="H528" s="22"/>
      <c r="I528" s="22"/>
      <c r="J528" s="22"/>
      <c r="K528" s="22"/>
      <c r="L528" s="22"/>
      <c r="M528" s="22"/>
      <c r="N528" s="22"/>
    </row>
    <row r="529" spans="1:14">
      <c r="A529" s="165"/>
      <c r="B529" s="66"/>
      <c r="C529" s="66"/>
      <c r="D529" s="66"/>
      <c r="E529" s="66"/>
      <c r="F529" s="73" t="s">
        <v>178</v>
      </c>
      <c r="G529" s="66"/>
      <c r="H529" s="22"/>
      <c r="I529" s="22"/>
      <c r="J529" s="22"/>
      <c r="K529" s="22"/>
      <c r="L529" s="22"/>
      <c r="M529" s="22"/>
      <c r="N529" s="22"/>
    </row>
    <row r="530" spans="1:14">
      <c r="A530" s="165"/>
      <c r="B530" s="66"/>
      <c r="C530" s="66"/>
      <c r="D530" s="66"/>
      <c r="E530" s="66"/>
      <c r="F530" s="73" t="s">
        <v>178</v>
      </c>
      <c r="G530" s="66"/>
      <c r="H530" s="22"/>
      <c r="I530" s="22"/>
      <c r="J530" s="22"/>
      <c r="K530" s="22"/>
      <c r="L530" s="22"/>
      <c r="M530" s="22"/>
      <c r="N530" s="22"/>
    </row>
    <row r="531" spans="1:14" ht="39" customHeight="1">
      <c r="A531" s="165"/>
      <c r="B531" s="66">
        <v>2760</v>
      </c>
      <c r="C531" s="66" t="s">
        <v>12</v>
      </c>
      <c r="D531" s="66">
        <v>6</v>
      </c>
      <c r="E531" s="66">
        <v>0</v>
      </c>
      <c r="F531" s="73" t="s">
        <v>310</v>
      </c>
      <c r="G531" s="66"/>
      <c r="H531" s="22"/>
      <c r="I531" s="22"/>
      <c r="J531" s="22"/>
      <c r="K531" s="22"/>
      <c r="L531" s="22"/>
      <c r="M531" s="22"/>
      <c r="N531" s="22"/>
    </row>
    <row r="532" spans="1:14" ht="51" customHeight="1">
      <c r="A532" s="165"/>
      <c r="B532" s="66"/>
      <c r="C532" s="66"/>
      <c r="D532" s="66"/>
      <c r="E532" s="66"/>
      <c r="F532" s="73" t="s">
        <v>156</v>
      </c>
      <c r="G532" s="66"/>
      <c r="H532" s="22"/>
      <c r="I532" s="22"/>
      <c r="J532" s="22"/>
      <c r="K532" s="22"/>
      <c r="L532" s="22"/>
      <c r="M532" s="22"/>
      <c r="N532" s="22"/>
    </row>
    <row r="533" spans="1:14" ht="27">
      <c r="A533" s="165"/>
      <c r="B533" s="66">
        <v>2761</v>
      </c>
      <c r="C533" s="66" t="s">
        <v>12</v>
      </c>
      <c r="D533" s="66">
        <v>6</v>
      </c>
      <c r="E533" s="66">
        <v>1</v>
      </c>
      <c r="F533" s="73" t="s">
        <v>311</v>
      </c>
      <c r="G533" s="66"/>
      <c r="H533" s="22"/>
      <c r="I533" s="22"/>
      <c r="J533" s="22"/>
      <c r="K533" s="22"/>
      <c r="L533" s="22"/>
      <c r="M533" s="22"/>
      <c r="N533" s="22"/>
    </row>
    <row r="534" spans="1:14" ht="40.5">
      <c r="A534" s="165"/>
      <c r="B534" s="66"/>
      <c r="C534" s="66"/>
      <c r="D534" s="66"/>
      <c r="E534" s="66"/>
      <c r="F534" s="73" t="s">
        <v>177</v>
      </c>
      <c r="G534" s="66"/>
      <c r="H534" s="22"/>
      <c r="I534" s="22"/>
      <c r="J534" s="22"/>
      <c r="K534" s="22"/>
      <c r="L534" s="22"/>
      <c r="M534" s="22"/>
      <c r="N534" s="22"/>
    </row>
    <row r="535" spans="1:14">
      <c r="A535" s="165"/>
      <c r="B535" s="66"/>
      <c r="C535" s="66"/>
      <c r="D535" s="66"/>
      <c r="E535" s="66"/>
      <c r="F535" s="73" t="s">
        <v>178</v>
      </c>
      <c r="G535" s="66"/>
      <c r="H535" s="22"/>
      <c r="I535" s="22"/>
      <c r="J535" s="22"/>
      <c r="K535" s="22"/>
      <c r="L535" s="22"/>
      <c r="M535" s="22"/>
      <c r="N535" s="22"/>
    </row>
    <row r="536" spans="1:14" ht="57.75" customHeight="1">
      <c r="A536" s="165"/>
      <c r="B536" s="66"/>
      <c r="C536" s="66"/>
      <c r="D536" s="66"/>
      <c r="E536" s="66"/>
      <c r="F536" s="73" t="s">
        <v>178</v>
      </c>
      <c r="G536" s="66"/>
      <c r="H536" s="22"/>
      <c r="I536" s="22"/>
      <c r="J536" s="22"/>
      <c r="K536" s="22"/>
      <c r="L536" s="22"/>
      <c r="M536" s="22"/>
      <c r="N536" s="22"/>
    </row>
    <row r="537" spans="1:14">
      <c r="A537" s="165"/>
      <c r="B537" s="66">
        <v>2762</v>
      </c>
      <c r="C537" s="66" t="s">
        <v>12</v>
      </c>
      <c r="D537" s="66">
        <v>6</v>
      </c>
      <c r="E537" s="66">
        <v>2</v>
      </c>
      <c r="F537" s="73" t="s">
        <v>310</v>
      </c>
      <c r="G537" s="66"/>
      <c r="H537" s="22"/>
      <c r="I537" s="22"/>
      <c r="J537" s="22"/>
      <c r="K537" s="22"/>
      <c r="L537" s="22"/>
      <c r="M537" s="22"/>
      <c r="N537" s="22"/>
    </row>
    <row r="538" spans="1:14" ht="40.5">
      <c r="A538" s="165"/>
      <c r="B538" s="66"/>
      <c r="C538" s="66"/>
      <c r="D538" s="66"/>
      <c r="E538" s="66"/>
      <c r="F538" s="73" t="s">
        <v>177</v>
      </c>
      <c r="G538" s="66"/>
      <c r="H538" s="22"/>
      <c r="I538" s="22"/>
      <c r="J538" s="22"/>
      <c r="K538" s="22"/>
      <c r="L538" s="22"/>
      <c r="M538" s="22"/>
      <c r="N538" s="22"/>
    </row>
    <row r="539" spans="1:14" ht="60.75" customHeight="1">
      <c r="A539" s="165"/>
      <c r="B539" s="66"/>
      <c r="C539" s="66"/>
      <c r="D539" s="66"/>
      <c r="E539" s="66"/>
      <c r="F539" s="73" t="s">
        <v>178</v>
      </c>
      <c r="G539" s="66"/>
      <c r="H539" s="22"/>
      <c r="I539" s="22"/>
      <c r="J539" s="22"/>
      <c r="K539" s="22"/>
      <c r="L539" s="22"/>
      <c r="M539" s="22"/>
      <c r="N539" s="22"/>
    </row>
    <row r="540" spans="1:14">
      <c r="A540" s="165"/>
      <c r="B540" s="66"/>
      <c r="C540" s="66"/>
      <c r="D540" s="66"/>
      <c r="E540" s="66"/>
      <c r="F540" s="73" t="s">
        <v>178</v>
      </c>
      <c r="G540" s="66"/>
      <c r="H540" s="22"/>
      <c r="I540" s="22"/>
      <c r="J540" s="22"/>
      <c r="K540" s="22"/>
      <c r="L540" s="22"/>
      <c r="M540" s="22"/>
      <c r="N540" s="22"/>
    </row>
    <row r="541" spans="1:14" ht="40.5">
      <c r="A541" s="165"/>
      <c r="B541" s="66">
        <v>2800</v>
      </c>
      <c r="C541" s="66" t="s">
        <v>13</v>
      </c>
      <c r="D541" s="66">
        <v>0</v>
      </c>
      <c r="E541" s="66">
        <v>0</v>
      </c>
      <c r="F541" s="73" t="s">
        <v>312</v>
      </c>
      <c r="G541" s="66"/>
      <c r="H541" s="22">
        <f t="shared" ref="H541:N541" si="69">+H543+H556+H598+H611+H631</f>
        <v>1777166.1639999992</v>
      </c>
      <c r="I541" s="22">
        <f t="shared" si="69"/>
        <v>1751166.1639999992</v>
      </c>
      <c r="J541" s="22">
        <f t="shared" si="69"/>
        <v>26000</v>
      </c>
      <c r="K541" s="22">
        <f t="shared" si="69"/>
        <v>422610.23714285693</v>
      </c>
      <c r="L541" s="22">
        <f t="shared" si="69"/>
        <v>842711.64257142763</v>
      </c>
      <c r="M541" s="22">
        <f t="shared" si="69"/>
        <v>1310965.8605063474</v>
      </c>
      <c r="N541" s="22">
        <f t="shared" si="69"/>
        <v>1777166.1639999992</v>
      </c>
    </row>
    <row r="542" spans="1:14">
      <c r="A542" s="165"/>
      <c r="B542" s="66"/>
      <c r="C542" s="66"/>
      <c r="D542" s="66"/>
      <c r="E542" s="66"/>
      <c r="F542" s="73" t="s">
        <v>154</v>
      </c>
      <c r="G542" s="66"/>
      <c r="H542" s="22"/>
      <c r="I542" s="22"/>
      <c r="J542" s="22"/>
      <c r="K542" s="22"/>
      <c r="L542" s="22"/>
      <c r="M542" s="22"/>
      <c r="N542" s="22"/>
    </row>
    <row r="543" spans="1:14">
      <c r="A543" s="165"/>
      <c r="B543" s="66">
        <v>2810</v>
      </c>
      <c r="C543" s="66" t="s">
        <v>13</v>
      </c>
      <c r="D543" s="66">
        <v>1</v>
      </c>
      <c r="E543" s="66">
        <v>0</v>
      </c>
      <c r="F543" s="73" t="s">
        <v>313</v>
      </c>
      <c r="G543" s="66"/>
      <c r="H543" s="22">
        <f t="shared" ref="H543:N543" si="70">H545</f>
        <v>793231.12399999902</v>
      </c>
      <c r="I543" s="22">
        <f t="shared" si="70"/>
        <v>793231.12399999902</v>
      </c>
      <c r="J543" s="22">
        <f t="shared" si="70"/>
        <v>0</v>
      </c>
      <c r="K543" s="22">
        <f t="shared" si="70"/>
        <v>194382.02476190453</v>
      </c>
      <c r="L543" s="22">
        <f t="shared" si="70"/>
        <v>387846.70160317415</v>
      </c>
      <c r="M543" s="22">
        <f t="shared" si="70"/>
        <v>603359.63214126916</v>
      </c>
      <c r="N543" s="22">
        <f t="shared" si="70"/>
        <v>793231.12399999902</v>
      </c>
    </row>
    <row r="544" spans="1:14" ht="58.5" customHeight="1">
      <c r="A544" s="165"/>
      <c r="B544" s="66"/>
      <c r="C544" s="66"/>
      <c r="D544" s="66"/>
      <c r="E544" s="66"/>
      <c r="F544" s="73" t="s">
        <v>156</v>
      </c>
      <c r="G544" s="66"/>
      <c r="H544" s="22"/>
      <c r="I544" s="22"/>
      <c r="J544" s="22"/>
      <c r="K544" s="22"/>
      <c r="L544" s="22"/>
      <c r="M544" s="22"/>
      <c r="N544" s="22"/>
    </row>
    <row r="545" spans="1:16">
      <c r="A545" s="165"/>
      <c r="B545" s="66">
        <v>2811</v>
      </c>
      <c r="C545" s="66" t="s">
        <v>13</v>
      </c>
      <c r="D545" s="66">
        <v>1</v>
      </c>
      <c r="E545" s="66">
        <v>1</v>
      </c>
      <c r="F545" s="73" t="s">
        <v>313</v>
      </c>
      <c r="G545" s="66"/>
      <c r="H545" s="22">
        <f t="shared" ref="H545:N545" si="71">SUM(H547:H554)</f>
        <v>793231.12399999902</v>
      </c>
      <c r="I545" s="22">
        <f t="shared" si="71"/>
        <v>793231.12399999902</v>
      </c>
      <c r="J545" s="22">
        <f t="shared" si="71"/>
        <v>0</v>
      </c>
      <c r="K545" s="22">
        <f t="shared" si="71"/>
        <v>194382.02476190453</v>
      </c>
      <c r="L545" s="22">
        <f t="shared" si="71"/>
        <v>387846.70160317415</v>
      </c>
      <c r="M545" s="22">
        <f t="shared" si="71"/>
        <v>603359.63214126916</v>
      </c>
      <c r="N545" s="22">
        <f t="shared" si="71"/>
        <v>793231.12399999902</v>
      </c>
    </row>
    <row r="546" spans="1:16" ht="40.5">
      <c r="A546" s="165"/>
      <c r="B546" s="66"/>
      <c r="C546" s="66"/>
      <c r="D546" s="66"/>
      <c r="E546" s="66"/>
      <c r="F546" s="73" t="s">
        <v>177</v>
      </c>
      <c r="G546" s="66"/>
      <c r="H546" s="22"/>
      <c r="I546" s="22"/>
      <c r="J546" s="22"/>
      <c r="K546" s="22"/>
      <c r="L546" s="22"/>
      <c r="M546" s="22"/>
      <c r="N546" s="22"/>
    </row>
    <row r="547" spans="1:16">
      <c r="A547" s="165"/>
      <c r="B547" s="66"/>
      <c r="C547" s="66"/>
      <c r="D547" s="66"/>
      <c r="E547" s="66"/>
      <c r="F547" s="73" t="s">
        <v>557</v>
      </c>
      <c r="G547" s="66">
        <v>4221</v>
      </c>
      <c r="H547" s="22">
        <f t="shared" ref="H547:H554" si="72">SUM(I547:J547)</f>
        <v>29300</v>
      </c>
      <c r="I547" s="22">
        <v>29300</v>
      </c>
      <c r="J547" s="22"/>
      <c r="K547" s="156">
        <v>11261.904761904763</v>
      </c>
      <c r="L547" s="156">
        <v>22711.507936507936</v>
      </c>
      <c r="M547" s="156">
        <v>29099.603174603199</v>
      </c>
      <c r="N547" s="156">
        <f t="shared" ref="N547:N554" si="73">+H547</f>
        <v>29300</v>
      </c>
    </row>
    <row r="548" spans="1:16">
      <c r="A548" s="165"/>
      <c r="B548" s="66"/>
      <c r="C548" s="66"/>
      <c r="D548" s="66"/>
      <c r="E548" s="66"/>
      <c r="F548" s="73" t="s">
        <v>396</v>
      </c>
      <c r="G548" s="66">
        <v>4222</v>
      </c>
      <c r="H548" s="22">
        <f t="shared" si="72"/>
        <v>1000</v>
      </c>
      <c r="I548" s="22">
        <v>1000</v>
      </c>
      <c r="J548" s="22"/>
      <c r="K548" s="156">
        <v>238.0952380952381</v>
      </c>
      <c r="L548" s="156">
        <v>480.15873015873018</v>
      </c>
      <c r="M548" s="156">
        <v>742.06349206349205</v>
      </c>
      <c r="N548" s="156">
        <f t="shared" si="73"/>
        <v>1000</v>
      </c>
    </row>
    <row r="549" spans="1:16">
      <c r="A549" s="165"/>
      <c r="B549" s="66"/>
      <c r="C549" s="66"/>
      <c r="D549" s="66"/>
      <c r="E549" s="66"/>
      <c r="F549" s="73" t="s">
        <v>558</v>
      </c>
      <c r="G549" s="66">
        <v>4511</v>
      </c>
      <c r="H549" s="22">
        <f t="shared" si="72"/>
        <v>606000.223999999</v>
      </c>
      <c r="I549" s="22">
        <f>606000.223999999</f>
        <v>606000.223999999</v>
      </c>
      <c r="J549" s="22"/>
      <c r="K549" s="156">
        <f>+H549/252*60</f>
        <v>144285.76761904737</v>
      </c>
      <c r="L549" s="156">
        <f>+H549/252*121</f>
        <v>290976.29803174554</v>
      </c>
      <c r="M549" s="156">
        <v>461881.15476031671</v>
      </c>
      <c r="N549" s="156">
        <f t="shared" si="73"/>
        <v>606000.223999999</v>
      </c>
      <c r="P549" s="165"/>
    </row>
    <row r="550" spans="1:16">
      <c r="A550" s="165"/>
      <c r="B550" s="66"/>
      <c r="C550" s="66"/>
      <c r="D550" s="66"/>
      <c r="E550" s="66"/>
      <c r="F550" s="73" t="s">
        <v>559</v>
      </c>
      <c r="G550" s="66">
        <v>4729</v>
      </c>
      <c r="H550" s="22">
        <f t="shared" si="72"/>
        <v>47140</v>
      </c>
      <c r="I550" s="22">
        <f>13000+34140</f>
        <v>47140</v>
      </c>
      <c r="J550" s="22"/>
      <c r="K550" s="156">
        <v>19557.142857142859</v>
      </c>
      <c r="L550" s="156">
        <v>39440.238095238099</v>
      </c>
      <c r="M550" s="156">
        <v>47140</v>
      </c>
      <c r="N550" s="156">
        <f t="shared" si="73"/>
        <v>47140</v>
      </c>
    </row>
    <row r="551" spans="1:16" ht="27">
      <c r="A551" s="165"/>
      <c r="B551" s="66"/>
      <c r="C551" s="66"/>
      <c r="D551" s="66"/>
      <c r="E551" s="66"/>
      <c r="F551" s="73" t="s">
        <v>564</v>
      </c>
      <c r="G551" s="66">
        <v>4819</v>
      </c>
      <c r="H551" s="22">
        <f t="shared" si="72"/>
        <v>60644.9</v>
      </c>
      <c r="I551" s="22">
        <f>56556+4088.9</f>
        <v>60644.9</v>
      </c>
      <c r="J551" s="22"/>
      <c r="K551" s="156">
        <v>15671.019047619047</v>
      </c>
      <c r="L551" s="156">
        <v>27446.173412698416</v>
      </c>
      <c r="M551" s="156">
        <v>40186.504365079367</v>
      </c>
      <c r="N551" s="156">
        <f t="shared" si="73"/>
        <v>60644.9</v>
      </c>
    </row>
    <row r="552" spans="1:16">
      <c r="A552" s="165"/>
      <c r="B552" s="66"/>
      <c r="C552" s="66"/>
      <c r="D552" s="66"/>
      <c r="E552" s="66"/>
      <c r="F552" s="73" t="s">
        <v>544</v>
      </c>
      <c r="G552" s="66">
        <v>4861</v>
      </c>
      <c r="H552" s="22">
        <f t="shared" si="72"/>
        <v>2000</v>
      </c>
      <c r="I552" s="22">
        <v>2000</v>
      </c>
      <c r="J552" s="22"/>
      <c r="K552" s="156">
        <v>476.1904761904762</v>
      </c>
      <c r="L552" s="156">
        <v>960.31746031746036</v>
      </c>
      <c r="M552" s="156">
        <v>1484.1269841269841</v>
      </c>
      <c r="N552" s="156">
        <f t="shared" si="73"/>
        <v>2000</v>
      </c>
    </row>
    <row r="553" spans="1:16">
      <c r="A553" s="165"/>
      <c r="B553" s="66"/>
      <c r="C553" s="66"/>
      <c r="D553" s="66"/>
      <c r="E553" s="66"/>
      <c r="F553" s="73" t="s">
        <v>560</v>
      </c>
      <c r="G553" s="66">
        <v>4216</v>
      </c>
      <c r="H553" s="22">
        <f t="shared" si="72"/>
        <v>3770</v>
      </c>
      <c r="I553" s="22">
        <v>3770</v>
      </c>
      <c r="J553" s="22"/>
      <c r="K553" s="156">
        <v>897.61904761904759</v>
      </c>
      <c r="L553" s="156">
        <v>1810.1984126984128</v>
      </c>
      <c r="M553" s="156">
        <v>2797.5793650793653</v>
      </c>
      <c r="N553" s="156">
        <f t="shared" si="73"/>
        <v>3770</v>
      </c>
    </row>
    <row r="554" spans="1:16" ht="27">
      <c r="A554" s="165"/>
      <c r="B554" s="66"/>
      <c r="C554" s="66"/>
      <c r="D554" s="66"/>
      <c r="E554" s="66"/>
      <c r="F554" s="73" t="s">
        <v>562</v>
      </c>
      <c r="G554" s="66">
        <v>4727</v>
      </c>
      <c r="H554" s="22">
        <f t="shared" si="72"/>
        <v>43376</v>
      </c>
      <c r="I554" s="22">
        <v>43376</v>
      </c>
      <c r="J554" s="22"/>
      <c r="K554" s="156">
        <v>1994.2857142857144</v>
      </c>
      <c r="L554" s="156">
        <v>4021.8095238095243</v>
      </c>
      <c r="M554" s="156">
        <v>20028.599999999999</v>
      </c>
      <c r="N554" s="156">
        <f t="shared" si="73"/>
        <v>43376</v>
      </c>
    </row>
    <row r="555" spans="1:16">
      <c r="A555" s="165"/>
      <c r="B555" s="66"/>
      <c r="C555" s="66"/>
      <c r="D555" s="66"/>
      <c r="E555" s="66"/>
      <c r="F555" s="73" t="s">
        <v>178</v>
      </c>
      <c r="G555" s="66"/>
      <c r="H555" s="22"/>
      <c r="I555" s="22"/>
      <c r="J555" s="22"/>
      <c r="K555" s="22"/>
      <c r="L555" s="22"/>
      <c r="M555" s="22"/>
      <c r="N555" s="22"/>
    </row>
    <row r="556" spans="1:16">
      <c r="A556" s="165"/>
      <c r="B556" s="66">
        <v>2820</v>
      </c>
      <c r="C556" s="66" t="s">
        <v>13</v>
      </c>
      <c r="D556" s="66">
        <v>2</v>
      </c>
      <c r="E556" s="66">
        <v>0</v>
      </c>
      <c r="F556" s="73" t="s">
        <v>314</v>
      </c>
      <c r="G556" s="66"/>
      <c r="H556" s="22">
        <f t="shared" ref="H556:N556" si="74">H558+H564+H570+H576+H581+H585+H589</f>
        <v>921733.8</v>
      </c>
      <c r="I556" s="22">
        <f t="shared" si="74"/>
        <v>895733.8</v>
      </c>
      <c r="J556" s="22">
        <f t="shared" si="74"/>
        <v>26000</v>
      </c>
      <c r="K556" s="22">
        <f t="shared" si="74"/>
        <v>211217.15333333335</v>
      </c>
      <c r="L556" s="22">
        <f t="shared" si="74"/>
        <v>422797.23255555501</v>
      </c>
      <c r="M556" s="22">
        <f t="shared" si="74"/>
        <v>655378.67138095107</v>
      </c>
      <c r="N556" s="22">
        <f t="shared" si="74"/>
        <v>921733.8</v>
      </c>
    </row>
    <row r="557" spans="1:16" ht="54.75" customHeight="1">
      <c r="A557" s="165"/>
      <c r="B557" s="66"/>
      <c r="C557" s="66"/>
      <c r="D557" s="66"/>
      <c r="E557" s="66"/>
      <c r="F557" s="73" t="s">
        <v>156</v>
      </c>
      <c r="G557" s="66"/>
      <c r="H557" s="22"/>
      <c r="I557" s="22"/>
      <c r="J557" s="22"/>
      <c r="K557" s="22"/>
      <c r="L557" s="22"/>
      <c r="M557" s="22"/>
      <c r="N557" s="22"/>
    </row>
    <row r="558" spans="1:16">
      <c r="A558" s="165"/>
      <c r="B558" s="66">
        <v>2821</v>
      </c>
      <c r="C558" s="66" t="s">
        <v>13</v>
      </c>
      <c r="D558" s="66">
        <v>2</v>
      </c>
      <c r="E558" s="66">
        <v>1</v>
      </c>
      <c r="F558" s="73" t="s">
        <v>315</v>
      </c>
      <c r="G558" s="66"/>
      <c r="H558" s="22">
        <f>H560+H561+H562+H563</f>
        <v>69280.100000000006</v>
      </c>
      <c r="I558" s="22">
        <f t="shared" ref="I558:N558" si="75">I560+I561+I562+I563</f>
        <v>69280.100000000006</v>
      </c>
      <c r="J558" s="22">
        <f t="shared" si="75"/>
        <v>0</v>
      </c>
      <c r="K558" s="22">
        <f t="shared" si="75"/>
        <v>15384.885714285712</v>
      </c>
      <c r="L558" s="22">
        <f t="shared" si="75"/>
        <v>30944.751190476192</v>
      </c>
      <c r="M558" s="22">
        <f t="shared" si="75"/>
        <v>47780.015476190478</v>
      </c>
      <c r="N558" s="22">
        <f t="shared" si="75"/>
        <v>69280.100000000006</v>
      </c>
    </row>
    <row r="559" spans="1:16" ht="40.5">
      <c r="A559" s="165"/>
      <c r="B559" s="66"/>
      <c r="C559" s="66"/>
      <c r="D559" s="66"/>
      <c r="E559" s="66"/>
      <c r="F559" s="73" t="s">
        <v>177</v>
      </c>
      <c r="G559" s="66"/>
      <c r="H559" s="22"/>
      <c r="I559" s="22"/>
      <c r="J559" s="22"/>
      <c r="K559" s="22"/>
      <c r="L559" s="22"/>
      <c r="M559" s="22"/>
      <c r="N559" s="22"/>
    </row>
    <row r="560" spans="1:16" ht="27">
      <c r="A560" s="165"/>
      <c r="B560" s="66"/>
      <c r="C560" s="66"/>
      <c r="D560" s="66"/>
      <c r="E560" s="66"/>
      <c r="F560" s="73" t="s">
        <v>563</v>
      </c>
      <c r="G560" s="66">
        <v>4511</v>
      </c>
      <c r="H560" s="22">
        <f>SUM(I560:J560)</f>
        <v>66500</v>
      </c>
      <c r="I560" s="22">
        <v>66500</v>
      </c>
      <c r="J560" s="22"/>
      <c r="K560" s="156">
        <v>14642.857142857141</v>
      </c>
      <c r="L560" s="156">
        <v>29529.761904761905</v>
      </c>
      <c r="M560" s="156">
        <v>45636.904761904763</v>
      </c>
      <c r="N560" s="156">
        <f t="shared" ref="N560:N562" si="76">+H560</f>
        <v>66500</v>
      </c>
    </row>
    <row r="561" spans="1:17">
      <c r="A561" s="165"/>
      <c r="B561" s="66"/>
      <c r="C561" s="66"/>
      <c r="D561" s="66"/>
      <c r="E561" s="66"/>
      <c r="F561" s="73" t="s">
        <v>560</v>
      </c>
      <c r="G561" s="66">
        <v>4216</v>
      </c>
      <c r="H561" s="22">
        <f>SUM(I561:J561)</f>
        <v>1200</v>
      </c>
      <c r="I561" s="22">
        <v>1200</v>
      </c>
      <c r="J561" s="22"/>
      <c r="K561" s="156">
        <v>285.71428571428572</v>
      </c>
      <c r="L561" s="156">
        <v>576.19047619047615</v>
      </c>
      <c r="M561" s="156">
        <v>890.47619047619048</v>
      </c>
      <c r="N561" s="156">
        <f t="shared" si="76"/>
        <v>1200</v>
      </c>
    </row>
    <row r="562" spans="1:17" ht="27">
      <c r="A562" s="165"/>
      <c r="B562" s="66"/>
      <c r="C562" s="66"/>
      <c r="D562" s="66"/>
      <c r="E562" s="66"/>
      <c r="F562" s="73" t="s">
        <v>564</v>
      </c>
      <c r="G562" s="66">
        <v>4819</v>
      </c>
      <c r="H562" s="22">
        <f>SUM(I562:J562)</f>
        <v>1580.1</v>
      </c>
      <c r="I562" s="22">
        <f>1500+80.1</f>
        <v>1580.1</v>
      </c>
      <c r="J562" s="22"/>
      <c r="K562" s="156">
        <v>456.31428571428569</v>
      </c>
      <c r="L562" s="156">
        <v>838.7988095238095</v>
      </c>
      <c r="M562" s="156">
        <v>1252.6345238095237</v>
      </c>
      <c r="N562" s="156">
        <f t="shared" si="76"/>
        <v>1580.1</v>
      </c>
    </row>
    <row r="563" spans="1:17">
      <c r="A563" s="165"/>
      <c r="B563" s="66"/>
      <c r="C563" s="66"/>
      <c r="D563" s="66"/>
      <c r="E563" s="66"/>
      <c r="F563" s="73" t="s">
        <v>185</v>
      </c>
      <c r="G563" s="66" t="s">
        <v>94</v>
      </c>
      <c r="H563" s="22"/>
      <c r="I563" s="22"/>
      <c r="J563" s="22"/>
      <c r="K563" s="86"/>
      <c r="L563" s="86"/>
      <c r="M563" s="86"/>
      <c r="N563" s="86"/>
    </row>
    <row r="564" spans="1:17" ht="25.5" customHeight="1">
      <c r="A564" s="165"/>
      <c r="B564" s="66">
        <v>2822</v>
      </c>
      <c r="C564" s="66" t="s">
        <v>13</v>
      </c>
      <c r="D564" s="66">
        <v>2</v>
      </c>
      <c r="E564" s="66">
        <v>2</v>
      </c>
      <c r="F564" s="73" t="s">
        <v>316</v>
      </c>
      <c r="G564" s="66"/>
      <c r="H564" s="22">
        <f>+H566+H567+H568+H569</f>
        <v>103540.1</v>
      </c>
      <c r="I564" s="22">
        <f t="shared" ref="I564:N564" si="77">+I566+I567+I568+I569</f>
        <v>100040.1</v>
      </c>
      <c r="J564" s="22">
        <f t="shared" si="77"/>
        <v>3500</v>
      </c>
      <c r="K564" s="22">
        <f t="shared" si="77"/>
        <v>24830.138095238093</v>
      </c>
      <c r="L564" s="22">
        <f t="shared" si="77"/>
        <v>49558.763492063488</v>
      </c>
      <c r="M564" s="22">
        <f t="shared" si="77"/>
        <v>79814.325396825399</v>
      </c>
      <c r="N564" s="22">
        <f t="shared" si="77"/>
        <v>103540.1</v>
      </c>
    </row>
    <row r="565" spans="1:17" ht="40.5">
      <c r="A565" s="165"/>
      <c r="B565" s="66"/>
      <c r="C565" s="66"/>
      <c r="D565" s="66"/>
      <c r="E565" s="66"/>
      <c r="F565" s="73" t="s">
        <v>177</v>
      </c>
      <c r="G565" s="66"/>
      <c r="H565" s="22"/>
      <c r="I565" s="22"/>
      <c r="J565" s="22"/>
      <c r="K565" s="22"/>
      <c r="L565" s="22"/>
      <c r="M565" s="22"/>
      <c r="N565" s="22"/>
    </row>
    <row r="566" spans="1:17" ht="27">
      <c r="A566" s="165"/>
      <c r="B566" s="66"/>
      <c r="C566" s="66"/>
      <c r="D566" s="66"/>
      <c r="E566" s="66"/>
      <c r="F566" s="73" t="s">
        <v>564</v>
      </c>
      <c r="G566" s="66">
        <v>4819</v>
      </c>
      <c r="H566" s="22">
        <f>SUM(I566:J566)</f>
        <v>30589.4</v>
      </c>
      <c r="I566" s="22">
        <v>30589.4</v>
      </c>
      <c r="J566" s="22"/>
      <c r="K566" s="156">
        <v>8294.2571428571428</v>
      </c>
      <c r="L566" s="156">
        <v>16211.403571428571</v>
      </c>
      <c r="M566" s="156">
        <v>24777.49642857143</v>
      </c>
      <c r="N566" s="156">
        <f t="shared" ref="N566:N569" si="78">+H566</f>
        <v>30589.4</v>
      </c>
      <c r="P566" s="165"/>
    </row>
    <row r="567" spans="1:17">
      <c r="A567" s="165"/>
      <c r="B567" s="66"/>
      <c r="C567" s="66"/>
      <c r="D567" s="66"/>
      <c r="E567" s="66"/>
      <c r="F567" s="73" t="s">
        <v>586</v>
      </c>
      <c r="G567" s="66">
        <v>4511</v>
      </c>
      <c r="H567" s="22">
        <f>SUM(I567:J567)</f>
        <v>69450.7</v>
      </c>
      <c r="I567" s="22">
        <f>64450.7+5000</f>
        <v>69450.7</v>
      </c>
      <c r="J567" s="22"/>
      <c r="K567" s="156">
        <f t="shared" ref="K567" si="79">+H567/252*60</f>
        <v>16535.88095238095</v>
      </c>
      <c r="L567" s="156">
        <f t="shared" ref="L567" si="80">+H567/252*121</f>
        <v>33347.359920634917</v>
      </c>
      <c r="M567" s="156">
        <f t="shared" ref="M567" si="81">+H567/252*187</f>
        <v>51536.828968253969</v>
      </c>
      <c r="N567" s="156">
        <f t="shared" si="78"/>
        <v>69450.7</v>
      </c>
    </row>
    <row r="568" spans="1:17" ht="27">
      <c r="A568" s="165"/>
      <c r="B568" s="66"/>
      <c r="C568" s="66"/>
      <c r="D568" s="66"/>
      <c r="E568" s="66"/>
      <c r="F568" s="73" t="s">
        <v>861</v>
      </c>
      <c r="G568" s="66" t="s">
        <v>42</v>
      </c>
      <c r="H568" s="22">
        <f>SUM(I568:J568)</f>
        <v>0</v>
      </c>
      <c r="I568" s="22"/>
      <c r="J568" s="22"/>
      <c r="K568" s="22"/>
      <c r="L568" s="22"/>
      <c r="M568" s="22"/>
      <c r="N568" s="156">
        <f t="shared" si="78"/>
        <v>0</v>
      </c>
      <c r="P568" s="165"/>
      <c r="Q568" s="165"/>
    </row>
    <row r="569" spans="1:17" ht="27">
      <c r="A569" s="165"/>
      <c r="B569" s="66"/>
      <c r="C569" s="66"/>
      <c r="D569" s="66"/>
      <c r="E569" s="66"/>
      <c r="F569" s="73" t="s">
        <v>582</v>
      </c>
      <c r="G569" s="66">
        <v>5113</v>
      </c>
      <c r="H569" s="22">
        <f>SUM(I569:J569)</f>
        <v>3500</v>
      </c>
      <c r="I569" s="22"/>
      <c r="J569" s="22">
        <v>3500</v>
      </c>
      <c r="K569" s="156"/>
      <c r="L569" s="156"/>
      <c r="M569" s="156">
        <v>3500</v>
      </c>
      <c r="N569" s="156">
        <f t="shared" si="78"/>
        <v>3500</v>
      </c>
    </row>
    <row r="570" spans="1:17" ht="30.75" customHeight="1">
      <c r="A570" s="165"/>
      <c r="B570" s="66">
        <v>2823</v>
      </c>
      <c r="C570" s="66" t="s">
        <v>13</v>
      </c>
      <c r="D570" s="66">
        <v>2</v>
      </c>
      <c r="E570" s="66">
        <v>3</v>
      </c>
      <c r="F570" s="73" t="s">
        <v>317</v>
      </c>
      <c r="G570" s="66"/>
      <c r="H570" s="22">
        <f>SUM(H572:H574)</f>
        <v>720413.6</v>
      </c>
      <c r="I570" s="22">
        <f t="shared" ref="I570:N570" si="82">SUM(I572:I574)</f>
        <v>720413.6</v>
      </c>
      <c r="J570" s="22">
        <f t="shared" si="82"/>
        <v>0</v>
      </c>
      <c r="K570" s="22">
        <f t="shared" si="82"/>
        <v>164216.41523809524</v>
      </c>
      <c r="L570" s="22">
        <f t="shared" si="82"/>
        <v>328609.19406349154</v>
      </c>
      <c r="M570" s="22">
        <f t="shared" si="82"/>
        <v>506476.79082539561</v>
      </c>
      <c r="N570" s="22">
        <f t="shared" si="82"/>
        <v>720413.6</v>
      </c>
    </row>
    <row r="571" spans="1:17" ht="25.5" customHeight="1">
      <c r="A571" s="165"/>
      <c r="B571" s="66"/>
      <c r="C571" s="66"/>
      <c r="D571" s="66"/>
      <c r="E571" s="66"/>
      <c r="F571" s="73" t="s">
        <v>177</v>
      </c>
      <c r="G571" s="66"/>
      <c r="H571" s="22"/>
      <c r="I571" s="22"/>
      <c r="J571" s="22"/>
      <c r="K571" s="22"/>
      <c r="L571" s="22"/>
      <c r="M571" s="22"/>
      <c r="N571" s="22"/>
    </row>
    <row r="572" spans="1:17" ht="27">
      <c r="A572" s="165"/>
      <c r="B572" s="66"/>
      <c r="C572" s="66"/>
      <c r="D572" s="66"/>
      <c r="E572" s="66"/>
      <c r="F572" s="73" t="s">
        <v>751</v>
      </c>
      <c r="G572" s="66">
        <v>4819</v>
      </c>
      <c r="H572" s="22">
        <f>SUM(I572:J572)</f>
        <v>35813.599999999999</v>
      </c>
      <c r="I572" s="22">
        <f>33295+2518.6</f>
        <v>35813.599999999999</v>
      </c>
      <c r="J572" s="22"/>
      <c r="K572" s="156">
        <v>11045.647619047619</v>
      </c>
      <c r="L572" s="156">
        <v>19714.812698412698</v>
      </c>
      <c r="M572" s="156">
        <v>29094.565079365078</v>
      </c>
      <c r="N572" s="156">
        <f t="shared" ref="N572:N574" si="83">+H572</f>
        <v>35813.599999999999</v>
      </c>
    </row>
    <row r="573" spans="1:17">
      <c r="A573" s="165"/>
      <c r="B573" s="66"/>
      <c r="C573" s="66"/>
      <c r="D573" s="66"/>
      <c r="E573" s="66"/>
      <c r="F573" s="73" t="s">
        <v>585</v>
      </c>
      <c r="G573" s="66">
        <v>4511</v>
      </c>
      <c r="H573" s="22">
        <f>SUM(I573:J573)</f>
        <v>680100</v>
      </c>
      <c r="I573" s="22">
        <v>680100</v>
      </c>
      <c r="J573" s="22"/>
      <c r="K573" s="156">
        <v>152099.33904761905</v>
      </c>
      <c r="L573" s="156">
        <v>306733.66707936459</v>
      </c>
      <c r="M573" s="156">
        <v>474042.94003174477</v>
      </c>
      <c r="N573" s="156">
        <f t="shared" si="83"/>
        <v>680100</v>
      </c>
    </row>
    <row r="574" spans="1:17" ht="27">
      <c r="A574" s="165"/>
      <c r="B574" s="66"/>
      <c r="C574" s="66"/>
      <c r="D574" s="66"/>
      <c r="E574" s="66"/>
      <c r="F574" s="73" t="s">
        <v>562</v>
      </c>
      <c r="G574" s="66" t="s">
        <v>76</v>
      </c>
      <c r="H574" s="22">
        <f>SUM(I574:J574)</f>
        <v>4500</v>
      </c>
      <c r="I574" s="22">
        <v>4500</v>
      </c>
      <c r="J574" s="22"/>
      <c r="K574" s="156">
        <v>1071.4285714285716</v>
      </c>
      <c r="L574" s="156">
        <v>2160.7142857142858</v>
      </c>
      <c r="M574" s="156">
        <v>3339.2857142857142</v>
      </c>
      <c r="N574" s="156">
        <f t="shared" si="83"/>
        <v>4500</v>
      </c>
    </row>
    <row r="575" spans="1:17" ht="51.75" customHeight="1">
      <c r="A575" s="165"/>
      <c r="B575" s="66"/>
      <c r="C575" s="66"/>
      <c r="D575" s="66"/>
      <c r="E575" s="66"/>
      <c r="F575" s="73" t="s">
        <v>178</v>
      </c>
      <c r="G575" s="66"/>
      <c r="H575" s="22"/>
      <c r="I575" s="22"/>
      <c r="J575" s="22"/>
      <c r="K575" s="22"/>
      <c r="L575" s="22"/>
      <c r="M575" s="22"/>
      <c r="N575" s="22"/>
    </row>
    <row r="576" spans="1:17">
      <c r="A576" s="165"/>
      <c r="B576" s="66">
        <v>2824</v>
      </c>
      <c r="C576" s="66" t="s">
        <v>13</v>
      </c>
      <c r="D576" s="66">
        <v>2</v>
      </c>
      <c r="E576" s="66">
        <v>4</v>
      </c>
      <c r="F576" s="73" t="s">
        <v>318</v>
      </c>
      <c r="G576" s="66"/>
      <c r="H576" s="22"/>
      <c r="I576" s="22"/>
      <c r="J576" s="22"/>
      <c r="K576" s="22"/>
      <c r="L576" s="22"/>
      <c r="M576" s="22"/>
      <c r="N576" s="22"/>
    </row>
    <row r="577" spans="1:14" ht="40.5">
      <c r="A577" s="165"/>
      <c r="B577" s="66"/>
      <c r="C577" s="66"/>
      <c r="D577" s="66"/>
      <c r="E577" s="66"/>
      <c r="F577" s="73" t="s">
        <v>177</v>
      </c>
      <c r="G577" s="66"/>
      <c r="H577" s="22"/>
      <c r="I577" s="22"/>
      <c r="J577" s="22"/>
      <c r="K577" s="22"/>
      <c r="L577" s="22"/>
      <c r="M577" s="22"/>
      <c r="N577" s="22"/>
    </row>
    <row r="578" spans="1:14">
      <c r="A578" s="165"/>
      <c r="B578" s="66"/>
      <c r="C578" s="66"/>
      <c r="D578" s="66"/>
      <c r="E578" s="66"/>
      <c r="F578" s="73"/>
      <c r="G578" s="66"/>
      <c r="H578" s="22"/>
      <c r="I578" s="22"/>
      <c r="J578" s="22"/>
      <c r="K578" s="22"/>
      <c r="L578" s="22"/>
      <c r="M578" s="22"/>
      <c r="N578" s="22"/>
    </row>
    <row r="579" spans="1:14">
      <c r="A579" s="165"/>
      <c r="B579" s="66"/>
      <c r="C579" s="66"/>
      <c r="D579" s="66"/>
      <c r="E579" s="66"/>
      <c r="F579" s="73" t="s">
        <v>178</v>
      </c>
      <c r="G579" s="66"/>
      <c r="H579" s="22"/>
      <c r="I579" s="22"/>
      <c r="J579" s="22"/>
      <c r="K579" s="22"/>
      <c r="L579" s="22"/>
      <c r="M579" s="22"/>
      <c r="N579" s="22"/>
    </row>
    <row r="580" spans="1:14" ht="51" customHeight="1">
      <c r="A580" s="165"/>
      <c r="B580" s="66"/>
      <c r="C580" s="66"/>
      <c r="D580" s="66"/>
      <c r="E580" s="66"/>
      <c r="F580" s="73" t="s">
        <v>178</v>
      </c>
      <c r="G580" s="66"/>
      <c r="H580" s="22"/>
      <c r="I580" s="22"/>
      <c r="J580" s="22"/>
      <c r="K580" s="22"/>
      <c r="L580" s="22"/>
      <c r="M580" s="22"/>
      <c r="N580" s="22"/>
    </row>
    <row r="581" spans="1:14">
      <c r="A581" s="165"/>
      <c r="B581" s="66">
        <v>2825</v>
      </c>
      <c r="C581" s="66" t="s">
        <v>13</v>
      </c>
      <c r="D581" s="66">
        <v>2</v>
      </c>
      <c r="E581" s="66">
        <v>5</v>
      </c>
      <c r="F581" s="73" t="s">
        <v>319</v>
      </c>
      <c r="G581" s="66"/>
      <c r="H581" s="22"/>
      <c r="I581" s="22"/>
      <c r="J581" s="22"/>
      <c r="K581" s="22"/>
      <c r="L581" s="22"/>
      <c r="M581" s="22"/>
      <c r="N581" s="22"/>
    </row>
    <row r="582" spans="1:14" ht="40.5">
      <c r="A582" s="165"/>
      <c r="B582" s="66"/>
      <c r="C582" s="66"/>
      <c r="D582" s="66"/>
      <c r="E582" s="66"/>
      <c r="F582" s="73" t="s">
        <v>177</v>
      </c>
      <c r="G582" s="66"/>
      <c r="H582" s="22"/>
      <c r="I582" s="22"/>
      <c r="J582" s="22"/>
      <c r="K582" s="22"/>
      <c r="L582" s="22"/>
      <c r="M582" s="22"/>
      <c r="N582" s="22"/>
    </row>
    <row r="583" spans="1:14">
      <c r="A583" s="165"/>
      <c r="B583" s="66"/>
      <c r="C583" s="66"/>
      <c r="D583" s="66"/>
      <c r="E583" s="66"/>
      <c r="F583" s="73" t="s">
        <v>178</v>
      </c>
      <c r="G583" s="66"/>
      <c r="H583" s="22"/>
      <c r="I583" s="22"/>
      <c r="J583" s="22"/>
      <c r="K583" s="22"/>
      <c r="L583" s="22"/>
      <c r="M583" s="22"/>
      <c r="N583" s="22"/>
    </row>
    <row r="584" spans="1:14" ht="52.5" customHeight="1">
      <c r="A584" s="165"/>
      <c r="B584" s="66"/>
      <c r="C584" s="66"/>
      <c r="D584" s="66"/>
      <c r="E584" s="66"/>
      <c r="F584" s="73" t="s">
        <v>178</v>
      </c>
      <c r="G584" s="66"/>
      <c r="H584" s="22"/>
      <c r="I584" s="22"/>
      <c r="J584" s="22"/>
      <c r="K584" s="22"/>
      <c r="L584" s="22"/>
      <c r="M584" s="22"/>
      <c r="N584" s="22"/>
    </row>
    <row r="585" spans="1:14">
      <c r="A585" s="165"/>
      <c r="B585" s="66">
        <v>2826</v>
      </c>
      <c r="C585" s="66" t="s">
        <v>13</v>
      </c>
      <c r="D585" s="66">
        <v>2</v>
      </c>
      <c r="E585" s="66">
        <v>6</v>
      </c>
      <c r="F585" s="73" t="s">
        <v>320</v>
      </c>
      <c r="G585" s="66"/>
      <c r="H585" s="22"/>
      <c r="I585" s="22"/>
      <c r="J585" s="22"/>
      <c r="K585" s="22"/>
      <c r="L585" s="22"/>
      <c r="M585" s="22"/>
      <c r="N585" s="22"/>
    </row>
    <row r="586" spans="1:14" ht="40.5">
      <c r="A586" s="165"/>
      <c r="B586" s="66"/>
      <c r="C586" s="66"/>
      <c r="D586" s="66"/>
      <c r="E586" s="66"/>
      <c r="F586" s="73" t="s">
        <v>177</v>
      </c>
      <c r="G586" s="66"/>
      <c r="H586" s="22"/>
      <c r="I586" s="22"/>
      <c r="J586" s="22"/>
      <c r="K586" s="22"/>
      <c r="L586" s="22"/>
      <c r="M586" s="22"/>
      <c r="N586" s="22"/>
    </row>
    <row r="587" spans="1:14" ht="38.25" customHeight="1">
      <c r="A587" s="165"/>
      <c r="B587" s="66"/>
      <c r="C587" s="66"/>
      <c r="D587" s="66"/>
      <c r="E587" s="66"/>
      <c r="F587" s="73" t="s">
        <v>178</v>
      </c>
      <c r="G587" s="66"/>
      <c r="H587" s="22"/>
      <c r="I587" s="22"/>
      <c r="J587" s="22"/>
      <c r="K587" s="22"/>
      <c r="L587" s="22"/>
      <c r="M587" s="22"/>
      <c r="N587" s="22"/>
    </row>
    <row r="588" spans="1:14" ht="55.5" customHeight="1">
      <c r="A588" s="165"/>
      <c r="B588" s="66"/>
      <c r="C588" s="66"/>
      <c r="D588" s="66"/>
      <c r="E588" s="66"/>
      <c r="F588" s="73" t="s">
        <v>178</v>
      </c>
      <c r="G588" s="66"/>
      <c r="H588" s="22"/>
      <c r="I588" s="22"/>
      <c r="J588" s="22"/>
      <c r="K588" s="22"/>
      <c r="L588" s="22"/>
      <c r="M588" s="22"/>
      <c r="N588" s="22"/>
    </row>
    <row r="589" spans="1:14" ht="27">
      <c r="A589" s="165"/>
      <c r="B589" s="66">
        <v>2827</v>
      </c>
      <c r="C589" s="66" t="s">
        <v>13</v>
      </c>
      <c r="D589" s="66">
        <v>2</v>
      </c>
      <c r="E589" s="66">
        <v>7</v>
      </c>
      <c r="F589" s="73" t="s">
        <v>321</v>
      </c>
      <c r="G589" s="66"/>
      <c r="H589" s="22">
        <f t="shared" ref="H589:N589" si="84">H591+H593+H594+H595+H592</f>
        <v>28500</v>
      </c>
      <c r="I589" s="22">
        <f t="shared" si="84"/>
        <v>6000</v>
      </c>
      <c r="J589" s="22">
        <f t="shared" si="84"/>
        <v>22500</v>
      </c>
      <c r="K589" s="22">
        <f t="shared" si="84"/>
        <v>6785.7142857142871</v>
      </c>
      <c r="L589" s="22">
        <f t="shared" si="84"/>
        <v>13684.523809523811</v>
      </c>
      <c r="M589" s="22">
        <f t="shared" si="84"/>
        <v>21307.539682539686</v>
      </c>
      <c r="N589" s="22">
        <f t="shared" si="84"/>
        <v>28500</v>
      </c>
    </row>
    <row r="590" spans="1:14" ht="40.5">
      <c r="A590" s="165"/>
      <c r="B590" s="66"/>
      <c r="C590" s="66"/>
      <c r="D590" s="66"/>
      <c r="E590" s="66"/>
      <c r="F590" s="73" t="s">
        <v>177</v>
      </c>
      <c r="G590" s="66"/>
      <c r="H590" s="22"/>
      <c r="I590" s="22"/>
      <c r="J590" s="22"/>
      <c r="K590" s="22"/>
      <c r="L590" s="22"/>
      <c r="M590" s="22"/>
      <c r="N590" s="22"/>
    </row>
    <row r="591" spans="1:14">
      <c r="A591" s="165"/>
      <c r="B591" s="66"/>
      <c r="C591" s="66"/>
      <c r="D591" s="66"/>
      <c r="E591" s="66"/>
      <c r="F591" s="229" t="s">
        <v>827</v>
      </c>
      <c r="G591" s="245">
        <v>5411</v>
      </c>
      <c r="H591" s="22">
        <v>0</v>
      </c>
      <c r="I591" s="22"/>
      <c r="J591" s="22"/>
      <c r="K591" s="86"/>
      <c r="L591" s="86"/>
      <c r="M591" s="86"/>
      <c r="N591" s="86"/>
    </row>
    <row r="592" spans="1:14">
      <c r="A592" s="165"/>
      <c r="B592" s="66"/>
      <c r="C592" s="66"/>
      <c r="D592" s="66"/>
      <c r="E592" s="66"/>
      <c r="F592" s="73" t="s">
        <v>584</v>
      </c>
      <c r="G592" s="66">
        <v>4251</v>
      </c>
      <c r="H592" s="22">
        <f t="shared" ref="H592:H594" si="85">SUM(I592:J592)</f>
        <v>3000</v>
      </c>
      <c r="I592" s="22">
        <v>3000</v>
      </c>
      <c r="J592" s="22"/>
      <c r="K592" s="156">
        <f t="shared" ref="K592:K595" si="86">+H592/252*60</f>
        <v>714.28571428571433</v>
      </c>
      <c r="L592" s="156">
        <f t="shared" ref="L592:L595" si="87">+H592/252*121</f>
        <v>1440.4761904761906</v>
      </c>
      <c r="M592" s="156">
        <f t="shared" ref="M592:M595" si="88">+H592/252*187</f>
        <v>2226.1904761904761</v>
      </c>
      <c r="N592" s="156">
        <f t="shared" ref="N592:N595" si="89">+H592</f>
        <v>3000</v>
      </c>
    </row>
    <row r="593" spans="1:14">
      <c r="A593" s="165"/>
      <c r="B593" s="66"/>
      <c r="C593" s="66"/>
      <c r="D593" s="66"/>
      <c r="E593" s="66"/>
      <c r="F593" s="73" t="s">
        <v>583</v>
      </c>
      <c r="G593" s="66">
        <v>4269</v>
      </c>
      <c r="H593" s="22">
        <f t="shared" si="85"/>
        <v>3000</v>
      </c>
      <c r="I593" s="22">
        <v>3000</v>
      </c>
      <c r="J593" s="22"/>
      <c r="K593" s="156">
        <f t="shared" si="86"/>
        <v>714.28571428571433</v>
      </c>
      <c r="L593" s="156">
        <f t="shared" si="87"/>
        <v>1440.4761904761906</v>
      </c>
      <c r="M593" s="156">
        <f t="shared" si="88"/>
        <v>2226.1904761904761</v>
      </c>
      <c r="N593" s="156">
        <f t="shared" si="89"/>
        <v>3000</v>
      </c>
    </row>
    <row r="594" spans="1:14">
      <c r="A594" s="165"/>
      <c r="B594" s="66"/>
      <c r="C594" s="66"/>
      <c r="D594" s="66"/>
      <c r="E594" s="66"/>
      <c r="F594" s="73" t="s">
        <v>596</v>
      </c>
      <c r="G594" s="66">
        <v>5112</v>
      </c>
      <c r="H594" s="22">
        <f t="shared" si="85"/>
        <v>20000</v>
      </c>
      <c r="I594" s="22"/>
      <c r="J594" s="22">
        <v>20000</v>
      </c>
      <c r="K594" s="156">
        <f t="shared" si="86"/>
        <v>4761.9047619047624</v>
      </c>
      <c r="L594" s="156">
        <f t="shared" si="87"/>
        <v>9603.1746031746043</v>
      </c>
      <c r="M594" s="156">
        <v>15000</v>
      </c>
      <c r="N594" s="156">
        <f t="shared" si="89"/>
        <v>20000</v>
      </c>
    </row>
    <row r="595" spans="1:14" ht="27">
      <c r="A595" s="165"/>
      <c r="B595" s="66"/>
      <c r="C595" s="66"/>
      <c r="D595" s="66"/>
      <c r="E595" s="66"/>
      <c r="F595" s="73" t="s">
        <v>582</v>
      </c>
      <c r="G595" s="66">
        <v>5113</v>
      </c>
      <c r="H595" s="22">
        <f>SUM(I595:J595)</f>
        <v>2500</v>
      </c>
      <c r="I595" s="22"/>
      <c r="J595" s="22">
        <v>2500</v>
      </c>
      <c r="K595" s="156">
        <f t="shared" si="86"/>
        <v>595.2380952380953</v>
      </c>
      <c r="L595" s="156">
        <f t="shared" si="87"/>
        <v>1200.3968253968255</v>
      </c>
      <c r="M595" s="156">
        <f t="shared" si="88"/>
        <v>1855.1587301587301</v>
      </c>
      <c r="N595" s="156">
        <f t="shared" si="89"/>
        <v>2500</v>
      </c>
    </row>
    <row r="596" spans="1:14" ht="58.5" customHeight="1">
      <c r="A596" s="165"/>
      <c r="B596" s="66"/>
      <c r="C596" s="66"/>
      <c r="D596" s="66"/>
      <c r="E596" s="66"/>
      <c r="F596" s="73"/>
      <c r="G596" s="66"/>
      <c r="H596" s="22"/>
      <c r="I596" s="22"/>
      <c r="J596" s="22"/>
      <c r="K596" s="22"/>
      <c r="L596" s="22"/>
      <c r="M596" s="22"/>
      <c r="N596" s="22"/>
    </row>
    <row r="597" spans="1:14">
      <c r="A597" s="165"/>
      <c r="B597" s="66">
        <v>2830</v>
      </c>
      <c r="C597" s="66" t="s">
        <v>13</v>
      </c>
      <c r="D597" s="66">
        <v>3</v>
      </c>
      <c r="E597" s="66">
        <v>0</v>
      </c>
      <c r="F597" s="77"/>
      <c r="G597" s="66"/>
      <c r="H597" s="22"/>
      <c r="I597" s="22"/>
      <c r="J597" s="22"/>
      <c r="K597" s="22"/>
      <c r="L597" s="22"/>
      <c r="M597" s="22"/>
      <c r="N597" s="22"/>
    </row>
    <row r="598" spans="1:14" ht="40.5">
      <c r="A598" s="165"/>
      <c r="B598" s="66">
        <v>2830</v>
      </c>
      <c r="C598" s="66" t="s">
        <v>13</v>
      </c>
      <c r="D598" s="66">
        <v>3</v>
      </c>
      <c r="E598" s="66">
        <v>0</v>
      </c>
      <c r="F598" s="73" t="s">
        <v>322</v>
      </c>
      <c r="G598" s="66"/>
      <c r="H598" s="22"/>
      <c r="I598" s="22"/>
      <c r="J598" s="22"/>
      <c r="K598" s="22"/>
      <c r="L598" s="22"/>
      <c r="M598" s="22"/>
      <c r="N598" s="22"/>
    </row>
    <row r="599" spans="1:14" ht="54" customHeight="1">
      <c r="A599" s="165"/>
      <c r="B599" s="66">
        <v>2831</v>
      </c>
      <c r="C599" s="66" t="s">
        <v>13</v>
      </c>
      <c r="D599" s="66">
        <v>3</v>
      </c>
      <c r="E599" s="66">
        <v>1</v>
      </c>
      <c r="F599" s="73" t="s">
        <v>156</v>
      </c>
      <c r="G599" s="66"/>
      <c r="H599" s="22"/>
      <c r="I599" s="22"/>
      <c r="J599" s="22"/>
      <c r="K599" s="22"/>
      <c r="L599" s="22"/>
      <c r="M599" s="22"/>
      <c r="N599" s="22"/>
    </row>
    <row r="600" spans="1:14">
      <c r="A600" s="165"/>
      <c r="B600" s="66"/>
      <c r="C600" s="66"/>
      <c r="D600" s="66"/>
      <c r="E600" s="66"/>
      <c r="F600" s="73" t="s">
        <v>323</v>
      </c>
      <c r="G600" s="66"/>
      <c r="H600" s="22"/>
      <c r="I600" s="22"/>
      <c r="J600" s="22"/>
      <c r="K600" s="22"/>
      <c r="L600" s="22"/>
      <c r="M600" s="22"/>
      <c r="N600" s="22"/>
    </row>
    <row r="601" spans="1:14" ht="40.5">
      <c r="A601" s="165"/>
      <c r="B601" s="66"/>
      <c r="C601" s="66"/>
      <c r="D601" s="66"/>
      <c r="E601" s="66"/>
      <c r="F601" s="73" t="s">
        <v>177</v>
      </c>
      <c r="G601" s="66"/>
      <c r="H601" s="22"/>
      <c r="I601" s="22"/>
      <c r="J601" s="22"/>
      <c r="K601" s="22"/>
      <c r="L601" s="22"/>
      <c r="M601" s="22"/>
      <c r="N601" s="22"/>
    </row>
    <row r="602" spans="1:14">
      <c r="A602" s="165"/>
      <c r="B602" s="66"/>
      <c r="C602" s="66"/>
      <c r="D602" s="66"/>
      <c r="E602" s="66"/>
      <c r="F602" s="73" t="s">
        <v>178</v>
      </c>
      <c r="G602" s="66"/>
      <c r="H602" s="22"/>
      <c r="I602" s="22"/>
      <c r="J602" s="22"/>
      <c r="K602" s="22"/>
      <c r="L602" s="22"/>
      <c r="M602" s="22"/>
      <c r="N602" s="22"/>
    </row>
    <row r="603" spans="1:14" ht="57.75" customHeight="1">
      <c r="A603" s="165"/>
      <c r="B603" s="66">
        <v>2832</v>
      </c>
      <c r="C603" s="66" t="s">
        <v>13</v>
      </c>
      <c r="D603" s="66">
        <v>3</v>
      </c>
      <c r="E603" s="66">
        <v>2</v>
      </c>
      <c r="F603" s="73" t="s">
        <v>178</v>
      </c>
      <c r="G603" s="66"/>
      <c r="H603" s="22"/>
      <c r="I603" s="22"/>
      <c r="J603" s="22"/>
      <c r="K603" s="22"/>
      <c r="L603" s="22"/>
      <c r="M603" s="22"/>
      <c r="N603" s="22"/>
    </row>
    <row r="604" spans="1:14">
      <c r="A604" s="165"/>
      <c r="B604" s="66"/>
      <c r="C604" s="66"/>
      <c r="D604" s="66"/>
      <c r="E604" s="66"/>
      <c r="F604" s="73" t="s">
        <v>324</v>
      </c>
      <c r="G604" s="66"/>
      <c r="H604" s="22"/>
      <c r="I604" s="22"/>
      <c r="J604" s="22"/>
      <c r="K604" s="22"/>
      <c r="L604" s="22"/>
      <c r="M604" s="22"/>
      <c r="N604" s="22"/>
    </row>
    <row r="605" spans="1:14" ht="40.5">
      <c r="A605" s="165"/>
      <c r="B605" s="66"/>
      <c r="C605" s="66"/>
      <c r="D605" s="66"/>
      <c r="E605" s="66"/>
      <c r="F605" s="73" t="s">
        <v>177</v>
      </c>
      <c r="G605" s="66"/>
      <c r="H605" s="22"/>
      <c r="I605" s="22"/>
      <c r="J605" s="22"/>
      <c r="K605" s="22"/>
      <c r="L605" s="22"/>
      <c r="M605" s="22"/>
      <c r="N605" s="22"/>
    </row>
    <row r="606" spans="1:14">
      <c r="A606" s="165"/>
      <c r="B606" s="66"/>
      <c r="C606" s="66"/>
      <c r="D606" s="66"/>
      <c r="E606" s="66"/>
      <c r="F606" s="73" t="s">
        <v>178</v>
      </c>
      <c r="G606" s="66"/>
      <c r="H606" s="22"/>
      <c r="I606" s="22"/>
      <c r="J606" s="22"/>
      <c r="K606" s="22"/>
      <c r="L606" s="22"/>
      <c r="M606" s="22"/>
      <c r="N606" s="22"/>
    </row>
    <row r="607" spans="1:14" ht="57" customHeight="1">
      <c r="A607" s="165"/>
      <c r="B607" s="66">
        <v>2833</v>
      </c>
      <c r="C607" s="66" t="s">
        <v>13</v>
      </c>
      <c r="D607" s="66">
        <v>3</v>
      </c>
      <c r="E607" s="66">
        <v>3</v>
      </c>
      <c r="F607" s="73" t="s">
        <v>178</v>
      </c>
      <c r="G607" s="66"/>
      <c r="H607" s="22"/>
      <c r="I607" s="22"/>
      <c r="J607" s="22"/>
      <c r="K607" s="22"/>
      <c r="L607" s="22"/>
      <c r="M607" s="22"/>
      <c r="N607" s="22"/>
    </row>
    <row r="608" spans="1:14">
      <c r="A608" s="165"/>
      <c r="B608" s="66">
        <v>2833</v>
      </c>
      <c r="C608" s="66" t="s">
        <v>13</v>
      </c>
      <c r="D608" s="66">
        <v>3</v>
      </c>
      <c r="E608" s="66">
        <v>3</v>
      </c>
      <c r="F608" s="73" t="s">
        <v>325</v>
      </c>
      <c r="G608" s="66"/>
      <c r="H608" s="22"/>
      <c r="I608" s="22"/>
      <c r="J608" s="22"/>
      <c r="K608" s="22"/>
      <c r="L608" s="22"/>
      <c r="M608" s="22"/>
      <c r="N608" s="22"/>
    </row>
    <row r="609" spans="1:14" ht="42" customHeight="1">
      <c r="A609" s="165"/>
      <c r="B609" s="66"/>
      <c r="C609" s="66"/>
      <c r="D609" s="66"/>
      <c r="E609" s="66"/>
      <c r="F609" s="73" t="s">
        <v>177</v>
      </c>
      <c r="G609" s="66"/>
      <c r="H609" s="22"/>
      <c r="I609" s="22"/>
      <c r="J609" s="22"/>
      <c r="K609" s="22"/>
      <c r="L609" s="22"/>
      <c r="M609" s="22"/>
      <c r="N609" s="22"/>
    </row>
    <row r="610" spans="1:14">
      <c r="A610" s="165"/>
      <c r="B610" s="66"/>
      <c r="C610" s="66"/>
      <c r="D610" s="66"/>
      <c r="E610" s="66"/>
      <c r="F610" s="73" t="s">
        <v>178</v>
      </c>
      <c r="G610" s="66"/>
      <c r="H610" s="22"/>
      <c r="I610" s="22"/>
      <c r="J610" s="22"/>
      <c r="K610" s="22"/>
      <c r="L610" s="22"/>
      <c r="M610" s="22"/>
      <c r="N610" s="22"/>
    </row>
    <row r="611" spans="1:14">
      <c r="A611" s="165"/>
      <c r="B611" s="66">
        <v>2840</v>
      </c>
      <c r="C611" s="66" t="s">
        <v>13</v>
      </c>
      <c r="D611" s="66">
        <v>4</v>
      </c>
      <c r="E611" s="66">
        <v>0</v>
      </c>
      <c r="F611" s="73" t="s">
        <v>326</v>
      </c>
      <c r="G611" s="66"/>
      <c r="H611" s="22">
        <f>+H612+H616</f>
        <v>25000</v>
      </c>
      <c r="I611" s="22">
        <f t="shared" ref="I611:N611" si="90">+I612+I616</f>
        <v>25000</v>
      </c>
      <c r="J611" s="22">
        <f t="shared" si="90"/>
        <v>0</v>
      </c>
      <c r="K611" s="22">
        <f t="shared" si="90"/>
        <v>5952.3809523809523</v>
      </c>
      <c r="L611" s="22">
        <f t="shared" si="90"/>
        <v>12003.968253968254</v>
      </c>
      <c r="M611" s="22">
        <f t="shared" si="90"/>
        <v>22420.634920634919</v>
      </c>
      <c r="N611" s="22">
        <f t="shared" si="90"/>
        <v>25000</v>
      </c>
    </row>
    <row r="612" spans="1:14" ht="59.25" customHeight="1">
      <c r="A612" s="165"/>
      <c r="B612" s="66">
        <v>2841</v>
      </c>
      <c r="C612" s="66" t="s">
        <v>13</v>
      </c>
      <c r="D612" s="66">
        <v>4</v>
      </c>
      <c r="E612" s="66">
        <v>1</v>
      </c>
      <c r="F612" s="73" t="s">
        <v>156</v>
      </c>
      <c r="G612" s="66"/>
      <c r="H612" s="22">
        <f>+H615</f>
        <v>10000</v>
      </c>
      <c r="I612" s="22">
        <f t="shared" ref="I612:N612" si="91">+I615</f>
        <v>10000</v>
      </c>
      <c r="J612" s="22">
        <f t="shared" si="91"/>
        <v>0</v>
      </c>
      <c r="K612" s="22">
        <f t="shared" si="91"/>
        <v>2380.9523809523812</v>
      </c>
      <c r="L612" s="22">
        <f t="shared" si="91"/>
        <v>4801.5873015873021</v>
      </c>
      <c r="M612" s="22">
        <f t="shared" si="91"/>
        <v>7420.6349206349205</v>
      </c>
      <c r="N612" s="22">
        <f t="shared" si="91"/>
        <v>10000</v>
      </c>
    </row>
    <row r="613" spans="1:14">
      <c r="A613" s="165"/>
      <c r="B613" s="66"/>
      <c r="C613" s="66"/>
      <c r="D613" s="66"/>
      <c r="E613" s="66"/>
      <c r="F613" s="73" t="s">
        <v>327</v>
      </c>
      <c r="G613" s="66"/>
      <c r="H613" s="22"/>
      <c r="I613" s="22"/>
      <c r="J613" s="22"/>
      <c r="K613" s="22"/>
      <c r="L613" s="22"/>
      <c r="M613" s="22"/>
      <c r="N613" s="22"/>
    </row>
    <row r="614" spans="1:14" ht="53.25" customHeight="1">
      <c r="A614" s="165"/>
      <c r="B614" s="66"/>
      <c r="C614" s="66"/>
      <c r="D614" s="66"/>
      <c r="E614" s="66"/>
      <c r="F614" s="73" t="s">
        <v>177</v>
      </c>
      <c r="G614" s="66"/>
      <c r="H614" s="22"/>
      <c r="I614" s="22"/>
      <c r="J614" s="22"/>
      <c r="K614" s="22"/>
      <c r="L614" s="22"/>
      <c r="M614" s="22"/>
      <c r="N614" s="22"/>
    </row>
    <row r="615" spans="1:14" ht="27">
      <c r="A615" s="165"/>
      <c r="B615" s="66"/>
      <c r="C615" s="66"/>
      <c r="D615" s="66"/>
      <c r="E615" s="66"/>
      <c r="F615" s="73" t="s">
        <v>751</v>
      </c>
      <c r="G615" s="66">
        <v>4819</v>
      </c>
      <c r="H615" s="22">
        <f>SUM(I615:J615)</f>
        <v>10000</v>
      </c>
      <c r="I615" s="22">
        <v>10000</v>
      </c>
      <c r="J615" s="22"/>
      <c r="K615" s="156">
        <f t="shared" ref="K615" si="92">+H615/252*60</f>
        <v>2380.9523809523812</v>
      </c>
      <c r="L615" s="156">
        <f t="shared" ref="L615" si="93">+H615/252*121</f>
        <v>4801.5873015873021</v>
      </c>
      <c r="M615" s="156">
        <f t="shared" ref="M615" si="94">+H615/252*187</f>
        <v>7420.6349206349205</v>
      </c>
      <c r="N615" s="156">
        <f t="shared" ref="N615" si="95">+H615</f>
        <v>10000</v>
      </c>
    </row>
    <row r="616" spans="1:14" ht="40.5">
      <c r="A616" s="165"/>
      <c r="B616" s="66">
        <v>2842</v>
      </c>
      <c r="C616" s="66" t="s">
        <v>13</v>
      </c>
      <c r="D616" s="66">
        <v>4</v>
      </c>
      <c r="E616" s="66">
        <v>2</v>
      </c>
      <c r="F616" s="73" t="s">
        <v>328</v>
      </c>
      <c r="G616" s="66"/>
      <c r="H616" s="22">
        <f>+H617+H618</f>
        <v>15000</v>
      </c>
      <c r="I616" s="22">
        <f t="shared" ref="I616:N616" si="96">+I617+I618</f>
        <v>15000</v>
      </c>
      <c r="J616" s="22">
        <f t="shared" si="96"/>
        <v>0</v>
      </c>
      <c r="K616" s="22">
        <f t="shared" si="96"/>
        <v>3571.4285714285716</v>
      </c>
      <c r="L616" s="22">
        <f t="shared" si="96"/>
        <v>7202.3809523809523</v>
      </c>
      <c r="M616" s="22">
        <f t="shared" si="96"/>
        <v>15000</v>
      </c>
      <c r="N616" s="22">
        <f t="shared" si="96"/>
        <v>15000</v>
      </c>
    </row>
    <row r="617" spans="1:14" ht="27">
      <c r="A617" s="165"/>
      <c r="B617" s="66"/>
      <c r="C617" s="66"/>
      <c r="D617" s="66"/>
      <c r="E617" s="66"/>
      <c r="F617" s="73" t="s">
        <v>751</v>
      </c>
      <c r="G617" s="66">
        <v>4819</v>
      </c>
      <c r="H617" s="22">
        <f>SUM(I617:J617)</f>
        <v>15000</v>
      </c>
      <c r="I617" s="22">
        <v>15000</v>
      </c>
      <c r="J617" s="22"/>
      <c r="K617" s="156">
        <f t="shared" ref="K617" si="97">+H617/252*60</f>
        <v>3571.4285714285716</v>
      </c>
      <c r="L617" s="156">
        <f t="shared" ref="L617" si="98">+H617/252*121</f>
        <v>7202.3809523809523</v>
      </c>
      <c r="M617" s="156">
        <v>15000</v>
      </c>
      <c r="N617" s="156">
        <f t="shared" ref="N617" si="99">+H617</f>
        <v>15000</v>
      </c>
    </row>
    <row r="618" spans="1:14" ht="40.5">
      <c r="A618" s="165"/>
      <c r="B618" s="66"/>
      <c r="C618" s="66"/>
      <c r="D618" s="66"/>
      <c r="E618" s="66"/>
      <c r="F618" s="73" t="s">
        <v>856</v>
      </c>
      <c r="G618" s="66" t="s">
        <v>67</v>
      </c>
      <c r="H618" s="22">
        <f t="shared" ref="H618" si="100">SUM(I618:J618)</f>
        <v>0</v>
      </c>
      <c r="I618" s="22"/>
      <c r="J618" s="22"/>
      <c r="K618" s="22"/>
      <c r="L618" s="22"/>
      <c r="M618" s="22"/>
      <c r="N618" s="22"/>
    </row>
    <row r="619" spans="1:14" ht="39" customHeight="1">
      <c r="A619" s="165"/>
      <c r="B619" s="66"/>
      <c r="C619" s="66"/>
      <c r="D619" s="66"/>
      <c r="E619" s="66"/>
      <c r="F619" s="73" t="s">
        <v>178</v>
      </c>
      <c r="G619" s="66"/>
      <c r="H619" s="22"/>
      <c r="I619" s="22"/>
      <c r="J619" s="22"/>
      <c r="K619" s="22"/>
      <c r="L619" s="22"/>
      <c r="M619" s="22"/>
      <c r="N619" s="22"/>
    </row>
    <row r="620" spans="1:14" ht="57" customHeight="1">
      <c r="A620" s="165"/>
      <c r="B620" s="66">
        <v>2843</v>
      </c>
      <c r="C620" s="66" t="s">
        <v>13</v>
      </c>
      <c r="D620" s="66">
        <v>4</v>
      </c>
      <c r="E620" s="66">
        <v>3</v>
      </c>
      <c r="F620" s="73" t="s">
        <v>178</v>
      </c>
      <c r="G620" s="66"/>
      <c r="H620" s="22"/>
      <c r="I620" s="22"/>
      <c r="J620" s="22"/>
      <c r="K620" s="22"/>
      <c r="L620" s="22"/>
      <c r="M620" s="22"/>
      <c r="N620" s="22"/>
    </row>
    <row r="621" spans="1:14">
      <c r="A621" s="165"/>
      <c r="B621" s="66"/>
      <c r="C621" s="66"/>
      <c r="D621" s="66"/>
      <c r="E621" s="66"/>
      <c r="F621" s="73" t="s">
        <v>326</v>
      </c>
      <c r="G621" s="66"/>
      <c r="H621" s="22"/>
      <c r="I621" s="22"/>
      <c r="J621" s="22"/>
      <c r="K621" s="22"/>
      <c r="L621" s="22"/>
      <c r="M621" s="22"/>
      <c r="N621" s="22"/>
    </row>
    <row r="622" spans="1:14" ht="40.5">
      <c r="A622" s="165"/>
      <c r="B622" s="66"/>
      <c r="C622" s="66"/>
      <c r="D622" s="66"/>
      <c r="E622" s="66"/>
      <c r="F622" s="73" t="s">
        <v>177</v>
      </c>
      <c r="G622" s="66"/>
      <c r="H622" s="22"/>
      <c r="I622" s="22"/>
      <c r="J622" s="22"/>
      <c r="K622" s="22"/>
      <c r="L622" s="22"/>
      <c r="M622" s="22"/>
      <c r="N622" s="22"/>
    </row>
    <row r="623" spans="1:14">
      <c r="A623" s="165"/>
      <c r="B623" s="66"/>
      <c r="C623" s="66"/>
      <c r="D623" s="66"/>
      <c r="E623" s="66"/>
      <c r="F623" s="73" t="s">
        <v>178</v>
      </c>
      <c r="G623" s="66"/>
      <c r="H623" s="22"/>
      <c r="I623" s="22"/>
      <c r="J623" s="22"/>
      <c r="K623" s="22"/>
      <c r="L623" s="22"/>
      <c r="M623" s="22"/>
      <c r="N623" s="22"/>
    </row>
    <row r="624" spans="1:14">
      <c r="A624" s="165"/>
      <c r="B624" s="66">
        <v>2850</v>
      </c>
      <c r="C624" s="66" t="s">
        <v>13</v>
      </c>
      <c r="D624" s="66">
        <v>5</v>
      </c>
      <c r="E624" s="66">
        <v>0</v>
      </c>
      <c r="F624" s="73" t="s">
        <v>178</v>
      </c>
      <c r="G624" s="66"/>
      <c r="H624" s="22"/>
      <c r="I624" s="22"/>
      <c r="J624" s="22"/>
      <c r="K624" s="22"/>
      <c r="L624" s="22"/>
      <c r="M624" s="22"/>
      <c r="N624" s="22"/>
    </row>
    <row r="625" spans="1:14" ht="27">
      <c r="A625" s="165"/>
      <c r="B625" s="66"/>
      <c r="C625" s="66"/>
      <c r="D625" s="66"/>
      <c r="E625" s="66"/>
      <c r="F625" s="76" t="s">
        <v>329</v>
      </c>
      <c r="G625" s="66"/>
      <c r="H625" s="22"/>
      <c r="I625" s="22"/>
      <c r="J625" s="22"/>
      <c r="K625" s="22"/>
      <c r="L625" s="22"/>
      <c r="M625" s="22"/>
      <c r="N625" s="22"/>
    </row>
    <row r="626" spans="1:14" ht="58.5" customHeight="1">
      <c r="A626" s="165"/>
      <c r="B626" s="66">
        <v>2851</v>
      </c>
      <c r="C626" s="66" t="s">
        <v>13</v>
      </c>
      <c r="D626" s="66">
        <v>5</v>
      </c>
      <c r="E626" s="66">
        <v>1</v>
      </c>
      <c r="F626" s="73" t="s">
        <v>156</v>
      </c>
      <c r="G626" s="66"/>
      <c r="H626" s="22"/>
      <c r="I626" s="22"/>
      <c r="J626" s="22"/>
      <c r="K626" s="22"/>
      <c r="L626" s="22"/>
      <c r="M626" s="22"/>
      <c r="N626" s="22"/>
    </row>
    <row r="627" spans="1:14" ht="27">
      <c r="A627" s="165"/>
      <c r="B627" s="66"/>
      <c r="C627" s="66"/>
      <c r="D627" s="66"/>
      <c r="E627" s="66"/>
      <c r="F627" s="76" t="s">
        <v>329</v>
      </c>
      <c r="G627" s="66"/>
      <c r="H627" s="22"/>
      <c r="I627" s="22"/>
      <c r="J627" s="22"/>
      <c r="K627" s="22"/>
      <c r="L627" s="22"/>
      <c r="M627" s="22"/>
      <c r="N627" s="22"/>
    </row>
    <row r="628" spans="1:14" ht="40.5">
      <c r="A628" s="165"/>
      <c r="B628" s="66"/>
      <c r="C628" s="66"/>
      <c r="D628" s="66"/>
      <c r="E628" s="66"/>
      <c r="F628" s="73" t="s">
        <v>177</v>
      </c>
      <c r="G628" s="66"/>
      <c r="H628" s="22"/>
      <c r="I628" s="22"/>
      <c r="J628" s="22"/>
      <c r="K628" s="22"/>
      <c r="L628" s="22"/>
      <c r="M628" s="22"/>
      <c r="N628" s="22"/>
    </row>
    <row r="629" spans="1:14" ht="35.25" customHeight="1">
      <c r="A629" s="165"/>
      <c r="B629" s="66"/>
      <c r="C629" s="66"/>
      <c r="D629" s="66"/>
      <c r="E629" s="66"/>
      <c r="F629" s="73" t="s">
        <v>178</v>
      </c>
      <c r="G629" s="66"/>
      <c r="H629" s="22"/>
      <c r="I629" s="22"/>
      <c r="J629" s="22"/>
      <c r="K629" s="22"/>
      <c r="L629" s="22"/>
      <c r="M629" s="22"/>
      <c r="N629" s="22"/>
    </row>
    <row r="630" spans="1:14" ht="39" customHeight="1">
      <c r="A630" s="165"/>
      <c r="B630" s="66"/>
      <c r="C630" s="66"/>
      <c r="D630" s="66"/>
      <c r="E630" s="66"/>
      <c r="F630" s="73"/>
      <c r="G630" s="66"/>
      <c r="H630" s="22"/>
      <c r="I630" s="22"/>
      <c r="J630" s="22"/>
      <c r="K630" s="22"/>
      <c r="L630" s="22"/>
      <c r="M630" s="22"/>
      <c r="N630" s="22"/>
    </row>
    <row r="631" spans="1:14" ht="27">
      <c r="A631" s="165"/>
      <c r="B631" s="66">
        <v>2860</v>
      </c>
      <c r="C631" s="66" t="s">
        <v>13</v>
      </c>
      <c r="D631" s="66">
        <v>6</v>
      </c>
      <c r="E631" s="66">
        <v>0</v>
      </c>
      <c r="F631" s="76" t="s">
        <v>330</v>
      </c>
      <c r="G631" s="66"/>
      <c r="H631" s="22">
        <f>H632</f>
        <v>37201.24</v>
      </c>
      <c r="I631" s="22">
        <f t="shared" ref="I631:N631" si="101">I632</f>
        <v>37201.24</v>
      </c>
      <c r="J631" s="22">
        <f t="shared" si="101"/>
        <v>0</v>
      </c>
      <c r="K631" s="22">
        <f t="shared" si="101"/>
        <v>11058.678095238096</v>
      </c>
      <c r="L631" s="22">
        <f t="shared" si="101"/>
        <v>20063.740158730157</v>
      </c>
      <c r="M631" s="22">
        <f t="shared" si="101"/>
        <v>29806.922063492064</v>
      </c>
      <c r="N631" s="22">
        <f t="shared" si="101"/>
        <v>37201.24</v>
      </c>
    </row>
    <row r="632" spans="1:14" ht="51.75" customHeight="1">
      <c r="A632" s="165"/>
      <c r="B632" s="66">
        <v>2861</v>
      </c>
      <c r="C632" s="66" t="s">
        <v>13</v>
      </c>
      <c r="D632" s="66">
        <v>6</v>
      </c>
      <c r="E632" s="66">
        <v>1</v>
      </c>
      <c r="F632" s="73" t="s">
        <v>581</v>
      </c>
      <c r="G632" s="66"/>
      <c r="H632" s="22">
        <f t="shared" ref="H632:N632" si="102">SUM(H635:H637)</f>
        <v>37201.24</v>
      </c>
      <c r="I632" s="22">
        <f>SUM(I635:I637)</f>
        <v>37201.24</v>
      </c>
      <c r="J632" s="22">
        <f t="shared" si="102"/>
        <v>0</v>
      </c>
      <c r="K632" s="22">
        <f t="shared" si="102"/>
        <v>11058.678095238096</v>
      </c>
      <c r="L632" s="22">
        <f t="shared" si="102"/>
        <v>20063.740158730157</v>
      </c>
      <c r="M632" s="22">
        <f t="shared" si="102"/>
        <v>29806.922063492064</v>
      </c>
      <c r="N632" s="22">
        <f t="shared" si="102"/>
        <v>37201.24</v>
      </c>
    </row>
    <row r="633" spans="1:14">
      <c r="A633" s="165"/>
      <c r="B633" s="66"/>
      <c r="C633" s="66"/>
      <c r="D633" s="66"/>
      <c r="E633" s="66"/>
      <c r="F633" s="76"/>
      <c r="G633" s="66"/>
      <c r="H633" s="22"/>
      <c r="I633" s="22"/>
      <c r="J633" s="22"/>
      <c r="K633" s="22"/>
      <c r="L633" s="22"/>
      <c r="M633" s="22"/>
      <c r="N633" s="22"/>
    </row>
    <row r="634" spans="1:14" ht="40.5">
      <c r="A634" s="165"/>
      <c r="B634" s="66"/>
      <c r="C634" s="66"/>
      <c r="D634" s="66"/>
      <c r="E634" s="66"/>
      <c r="F634" s="73" t="s">
        <v>177</v>
      </c>
      <c r="G634" s="66"/>
      <c r="H634" s="22"/>
      <c r="I634" s="22"/>
      <c r="J634" s="22"/>
      <c r="K634" s="22"/>
      <c r="L634" s="22"/>
      <c r="M634" s="22"/>
      <c r="N634" s="22"/>
    </row>
    <row r="635" spans="1:14" ht="36" customHeight="1">
      <c r="A635" s="165"/>
      <c r="B635" s="66"/>
      <c r="C635" s="66"/>
      <c r="D635" s="66"/>
      <c r="E635" s="66"/>
      <c r="F635" s="73" t="s">
        <v>565</v>
      </c>
      <c r="G635" s="66">
        <v>4861</v>
      </c>
      <c r="H635" s="22">
        <f>SUM(I635:J635)</f>
        <v>37201.24</v>
      </c>
      <c r="I635" s="22">
        <f>35000+2201.24</f>
        <v>37201.24</v>
      </c>
      <c r="J635" s="22"/>
      <c r="K635" s="156">
        <v>11058.678095238096</v>
      </c>
      <c r="L635" s="156">
        <v>20063.740158730157</v>
      </c>
      <c r="M635" s="156">
        <v>29806.922063492064</v>
      </c>
      <c r="N635" s="156">
        <f t="shared" ref="N635" si="103">+H635</f>
        <v>37201.24</v>
      </c>
    </row>
    <row r="636" spans="1:14" ht="27">
      <c r="A636" s="165"/>
      <c r="B636" s="66"/>
      <c r="C636" s="66"/>
      <c r="D636" s="66"/>
      <c r="E636" s="66"/>
      <c r="F636" s="73" t="s">
        <v>561</v>
      </c>
      <c r="G636" s="66">
        <v>4819</v>
      </c>
      <c r="H636" s="22">
        <v>0</v>
      </c>
      <c r="I636" s="22">
        <f>+H636</f>
        <v>0</v>
      </c>
      <c r="J636" s="22"/>
      <c r="K636" s="86"/>
      <c r="L636" s="86"/>
      <c r="M636" s="86"/>
      <c r="N636" s="86"/>
    </row>
    <row r="637" spans="1:14" ht="54.75" customHeight="1">
      <c r="A637" s="165"/>
      <c r="B637" s="66"/>
      <c r="C637" s="66"/>
      <c r="D637" s="66"/>
      <c r="E637" s="66"/>
      <c r="F637" s="75" t="s">
        <v>566</v>
      </c>
      <c r="G637" s="66">
        <v>4727</v>
      </c>
      <c r="H637" s="22">
        <v>0</v>
      </c>
      <c r="I637" s="22">
        <f>+H637</f>
        <v>0</v>
      </c>
      <c r="J637" s="22"/>
      <c r="K637" s="86"/>
      <c r="L637" s="86"/>
      <c r="M637" s="86"/>
      <c r="N637" s="86"/>
    </row>
    <row r="638" spans="1:14">
      <c r="A638" s="165"/>
      <c r="B638" s="66"/>
      <c r="C638" s="66"/>
      <c r="D638" s="66"/>
      <c r="E638" s="66"/>
      <c r="F638" s="73" t="s">
        <v>559</v>
      </c>
      <c r="G638" s="66">
        <v>4729</v>
      </c>
      <c r="H638" s="22">
        <v>0</v>
      </c>
      <c r="I638" s="22">
        <f>+H638</f>
        <v>0</v>
      </c>
      <c r="J638" s="22"/>
      <c r="K638" s="86"/>
      <c r="L638" s="86"/>
      <c r="M638" s="86"/>
      <c r="N638" s="86"/>
    </row>
    <row r="639" spans="1:14" ht="34.5" customHeight="1">
      <c r="A639" s="165"/>
      <c r="B639" s="66">
        <v>2900</v>
      </c>
      <c r="C639" s="66" t="s">
        <v>14</v>
      </c>
      <c r="D639" s="66">
        <v>0</v>
      </c>
      <c r="E639" s="66">
        <v>0</v>
      </c>
      <c r="F639" s="73" t="s">
        <v>331</v>
      </c>
      <c r="G639" s="66"/>
      <c r="H639" s="22">
        <f t="shared" ref="H639:N639" si="104">+H641+H651+H662+H672+H681+H691+H698+H704</f>
        <v>1012604.755</v>
      </c>
      <c r="I639" s="22">
        <f t="shared" si="104"/>
        <v>1002604.755</v>
      </c>
      <c r="J639" s="22">
        <f t="shared" si="104"/>
        <v>10000</v>
      </c>
      <c r="K639" s="22">
        <f t="shared" si="104"/>
        <v>243210.76071428551</v>
      </c>
      <c r="L639" s="22">
        <f t="shared" si="104"/>
        <v>492814.55577380856</v>
      </c>
      <c r="M639" s="22">
        <f t="shared" si="104"/>
        <v>793386.02890873014</v>
      </c>
      <c r="N639" s="22">
        <f t="shared" si="104"/>
        <v>1012604.755</v>
      </c>
    </row>
    <row r="640" spans="1:14">
      <c r="A640" s="165"/>
      <c r="B640" s="66"/>
      <c r="C640" s="66"/>
      <c r="D640" s="66"/>
      <c r="E640" s="66"/>
      <c r="F640" s="73" t="s">
        <v>154</v>
      </c>
      <c r="G640" s="66"/>
      <c r="H640" s="22"/>
      <c r="I640" s="22"/>
      <c r="J640" s="22"/>
      <c r="K640" s="22"/>
      <c r="L640" s="22"/>
      <c r="M640" s="22"/>
      <c r="N640" s="22"/>
    </row>
    <row r="641" spans="1:17" ht="27">
      <c r="A641" s="165"/>
      <c r="B641" s="66">
        <v>2910</v>
      </c>
      <c r="C641" s="66" t="s">
        <v>14</v>
      </c>
      <c r="D641" s="66">
        <v>1</v>
      </c>
      <c r="E641" s="66">
        <v>0</v>
      </c>
      <c r="F641" s="73" t="s">
        <v>332</v>
      </c>
      <c r="G641" s="66"/>
      <c r="H641" s="22">
        <f t="shared" ref="H641:N641" si="105">+H643</f>
        <v>854582</v>
      </c>
      <c r="I641" s="22">
        <f t="shared" si="105"/>
        <v>854582</v>
      </c>
      <c r="J641" s="22">
        <f t="shared" si="105"/>
        <v>0</v>
      </c>
      <c r="K641" s="22">
        <f t="shared" si="105"/>
        <v>212043.33333333358</v>
      </c>
      <c r="L641" s="22">
        <f t="shared" si="105"/>
        <v>427620.72222222202</v>
      </c>
      <c r="M641" s="22">
        <f t="shared" si="105"/>
        <v>678677.91269841266</v>
      </c>
      <c r="N641" s="22">
        <f t="shared" si="105"/>
        <v>854582</v>
      </c>
    </row>
    <row r="642" spans="1:17" ht="36.75" customHeight="1">
      <c r="A642" s="165"/>
      <c r="B642" s="66"/>
      <c r="C642" s="66"/>
      <c r="D642" s="66"/>
      <c r="E642" s="66"/>
      <c r="F642" s="73" t="s">
        <v>156</v>
      </c>
      <c r="G642" s="66"/>
      <c r="H642" s="22"/>
      <c r="I642" s="22"/>
      <c r="J642" s="22"/>
      <c r="K642" s="22"/>
      <c r="L642" s="22"/>
      <c r="M642" s="22"/>
      <c r="N642" s="22"/>
    </row>
    <row r="643" spans="1:17">
      <c r="A643" s="165"/>
      <c r="B643" s="66">
        <v>2911</v>
      </c>
      <c r="C643" s="66" t="s">
        <v>14</v>
      </c>
      <c r="D643" s="66">
        <v>1</v>
      </c>
      <c r="E643" s="66">
        <v>1</v>
      </c>
      <c r="F643" s="73" t="s">
        <v>333</v>
      </c>
      <c r="G643" s="66"/>
      <c r="H643" s="22">
        <f>+H644</f>
        <v>854582</v>
      </c>
      <c r="I643" s="22">
        <f t="shared" ref="I643:N643" si="106">+I644</f>
        <v>854582</v>
      </c>
      <c r="J643" s="22">
        <f t="shared" si="106"/>
        <v>0</v>
      </c>
      <c r="K643" s="22">
        <f t="shared" si="106"/>
        <v>212043.33333333358</v>
      </c>
      <c r="L643" s="22">
        <f t="shared" si="106"/>
        <v>427620.72222222202</v>
      </c>
      <c r="M643" s="22">
        <f t="shared" si="106"/>
        <v>678677.91269841266</v>
      </c>
      <c r="N643" s="22">
        <f t="shared" si="106"/>
        <v>854582</v>
      </c>
    </row>
    <row r="644" spans="1:17">
      <c r="A644" s="165"/>
      <c r="B644" s="66"/>
      <c r="C644" s="66"/>
      <c r="D644" s="66"/>
      <c r="E644" s="66"/>
      <c r="F644" s="73" t="s">
        <v>580</v>
      </c>
      <c r="G644" s="66">
        <v>4511</v>
      </c>
      <c r="H644" s="22">
        <f>SUM(I644:J644)</f>
        <v>854582</v>
      </c>
      <c r="I644" s="22">
        <v>854582</v>
      </c>
      <c r="J644" s="22"/>
      <c r="K644" s="156">
        <v>212043.33333333358</v>
      </c>
      <c r="L644" s="156">
        <v>427620.72222222202</v>
      </c>
      <c r="M644" s="156">
        <v>678677.91269841266</v>
      </c>
      <c r="N644" s="156">
        <f t="shared" ref="N644" si="107">+H644</f>
        <v>854582</v>
      </c>
      <c r="P644" s="22"/>
      <c r="Q644" s="22"/>
    </row>
    <row r="645" spans="1:17">
      <c r="A645" s="165"/>
      <c r="B645" s="66"/>
      <c r="C645" s="66"/>
      <c r="D645" s="66"/>
      <c r="E645" s="66"/>
      <c r="F645" s="73"/>
      <c r="G645" s="66"/>
      <c r="H645" s="22"/>
      <c r="I645" s="22"/>
      <c r="J645" s="22"/>
      <c r="K645" s="22"/>
      <c r="L645" s="22"/>
      <c r="M645" s="22"/>
      <c r="N645" s="22"/>
    </row>
    <row r="646" spans="1:17">
      <c r="A646" s="165"/>
      <c r="B646" s="66"/>
      <c r="C646" s="66"/>
      <c r="D646" s="66"/>
      <c r="E646" s="66"/>
      <c r="F646" s="73" t="s">
        <v>178</v>
      </c>
      <c r="G646" s="66"/>
      <c r="H646" s="22"/>
      <c r="I646" s="22"/>
      <c r="J646" s="22"/>
      <c r="K646" s="22"/>
      <c r="L646" s="22"/>
      <c r="M646" s="22"/>
      <c r="N646" s="22"/>
    </row>
    <row r="647" spans="1:17" ht="56.25" customHeight="1">
      <c r="A647" s="165"/>
      <c r="B647" s="66">
        <v>2912</v>
      </c>
      <c r="C647" s="66" t="s">
        <v>14</v>
      </c>
      <c r="D647" s="66">
        <v>1</v>
      </c>
      <c r="E647" s="66">
        <v>2</v>
      </c>
      <c r="F647" s="73" t="s">
        <v>178</v>
      </c>
      <c r="G647" s="66"/>
      <c r="H647" s="22"/>
      <c r="I647" s="22"/>
      <c r="J647" s="22"/>
      <c r="K647" s="22"/>
      <c r="L647" s="22"/>
      <c r="M647" s="22"/>
      <c r="N647" s="22"/>
    </row>
    <row r="648" spans="1:17">
      <c r="A648" s="165"/>
      <c r="B648" s="66"/>
      <c r="C648" s="66"/>
      <c r="D648" s="66"/>
      <c r="E648" s="66"/>
      <c r="F648" s="73" t="s">
        <v>334</v>
      </c>
      <c r="G648" s="66"/>
      <c r="H648" s="22"/>
      <c r="I648" s="22"/>
      <c r="J648" s="22"/>
      <c r="K648" s="22"/>
      <c r="L648" s="22"/>
      <c r="M648" s="22"/>
      <c r="N648" s="22"/>
    </row>
    <row r="649" spans="1:17" ht="40.5">
      <c r="A649" s="165"/>
      <c r="B649" s="66"/>
      <c r="C649" s="66"/>
      <c r="D649" s="66"/>
      <c r="E649" s="66"/>
      <c r="F649" s="73" t="s">
        <v>177</v>
      </c>
      <c r="G649" s="66"/>
      <c r="H649" s="22"/>
      <c r="I649" s="22"/>
      <c r="J649" s="22"/>
      <c r="K649" s="22"/>
      <c r="L649" s="22"/>
      <c r="M649" s="22"/>
      <c r="N649" s="22"/>
    </row>
    <row r="650" spans="1:17">
      <c r="A650" s="165"/>
      <c r="B650" s="66"/>
      <c r="C650" s="66"/>
      <c r="D650" s="66"/>
      <c r="E650" s="66"/>
      <c r="F650" s="73" t="s">
        <v>178</v>
      </c>
      <c r="G650" s="66"/>
      <c r="H650" s="22"/>
      <c r="I650" s="22"/>
      <c r="J650" s="22"/>
      <c r="K650" s="22"/>
      <c r="L650" s="22"/>
      <c r="M650" s="22"/>
      <c r="N650" s="22"/>
    </row>
    <row r="651" spans="1:17">
      <c r="A651" s="165"/>
      <c r="B651" s="66">
        <v>2920</v>
      </c>
      <c r="C651" s="66" t="s">
        <v>14</v>
      </c>
      <c r="D651" s="66">
        <v>2</v>
      </c>
      <c r="E651" s="66">
        <v>0</v>
      </c>
      <c r="F651" s="73" t="s">
        <v>178</v>
      </c>
      <c r="G651" s="66"/>
      <c r="H651" s="22"/>
      <c r="I651" s="22"/>
      <c r="J651" s="22"/>
      <c r="K651" s="22"/>
      <c r="L651" s="22"/>
      <c r="M651" s="22"/>
      <c r="N651" s="22"/>
    </row>
    <row r="652" spans="1:17">
      <c r="A652" s="165"/>
      <c r="B652" s="66"/>
      <c r="C652" s="66"/>
      <c r="D652" s="66"/>
      <c r="E652" s="66"/>
      <c r="F652" s="73" t="s">
        <v>335</v>
      </c>
      <c r="G652" s="66"/>
      <c r="H652" s="22"/>
      <c r="I652" s="22"/>
      <c r="J652" s="22"/>
      <c r="K652" s="22"/>
      <c r="L652" s="22"/>
      <c r="M652" s="22"/>
      <c r="N652" s="22"/>
    </row>
    <row r="653" spans="1:17">
      <c r="A653" s="165"/>
      <c r="B653" s="66">
        <v>2921</v>
      </c>
      <c r="C653" s="66" t="s">
        <v>14</v>
      </c>
      <c r="D653" s="66">
        <v>2</v>
      </c>
      <c r="E653" s="66">
        <v>1</v>
      </c>
      <c r="F653" s="73" t="s">
        <v>156</v>
      </c>
      <c r="G653" s="66"/>
      <c r="H653" s="22"/>
      <c r="I653" s="22"/>
      <c r="J653" s="22"/>
      <c r="K653" s="22"/>
      <c r="L653" s="22"/>
      <c r="M653" s="22"/>
      <c r="N653" s="22"/>
    </row>
    <row r="654" spans="1:17">
      <c r="A654" s="165"/>
      <c r="B654" s="66"/>
      <c r="C654" s="66"/>
      <c r="D654" s="66"/>
      <c r="E654" s="66"/>
      <c r="F654" s="73" t="s">
        <v>336</v>
      </c>
      <c r="G654" s="66"/>
      <c r="H654" s="22"/>
      <c r="I654" s="22"/>
      <c r="J654" s="22"/>
      <c r="K654" s="22"/>
      <c r="L654" s="22"/>
      <c r="M654" s="22"/>
      <c r="N654" s="22"/>
    </row>
    <row r="655" spans="1:17">
      <c r="A655" s="165"/>
      <c r="B655" s="66"/>
      <c r="C655" s="66"/>
      <c r="D655" s="66"/>
      <c r="E655" s="66"/>
      <c r="F655" s="73" t="s">
        <v>559</v>
      </c>
      <c r="G655" s="66"/>
      <c r="H655" s="22"/>
      <c r="I655" s="22"/>
      <c r="J655" s="22"/>
      <c r="K655" s="22"/>
      <c r="L655" s="22"/>
      <c r="M655" s="22"/>
      <c r="N655" s="22"/>
    </row>
    <row r="656" spans="1:17">
      <c r="A656" s="165"/>
      <c r="B656" s="66"/>
      <c r="C656" s="66"/>
      <c r="D656" s="66"/>
      <c r="E656" s="66"/>
      <c r="F656" s="73"/>
      <c r="G656" s="66"/>
      <c r="H656" s="22"/>
      <c r="I656" s="22"/>
      <c r="J656" s="22"/>
      <c r="K656" s="22"/>
      <c r="L656" s="22"/>
      <c r="M656" s="22"/>
      <c r="N656" s="22"/>
    </row>
    <row r="657" spans="1:14" ht="52.5" customHeight="1">
      <c r="A657" s="165"/>
      <c r="B657" s="66">
        <v>2922</v>
      </c>
      <c r="C657" s="66" t="s">
        <v>14</v>
      </c>
      <c r="D657" s="66">
        <v>2</v>
      </c>
      <c r="E657" s="66">
        <v>2</v>
      </c>
      <c r="F657" s="73" t="s">
        <v>178</v>
      </c>
      <c r="G657" s="66"/>
      <c r="H657" s="22"/>
      <c r="I657" s="22"/>
      <c r="J657" s="22"/>
      <c r="K657" s="22"/>
      <c r="L657" s="22"/>
      <c r="M657" s="22"/>
      <c r="N657" s="22"/>
    </row>
    <row r="658" spans="1:14">
      <c r="A658" s="165"/>
      <c r="B658" s="66"/>
      <c r="C658" s="66"/>
      <c r="D658" s="66"/>
      <c r="E658" s="66"/>
      <c r="F658" s="73" t="s">
        <v>337</v>
      </c>
      <c r="G658" s="66"/>
      <c r="H658" s="22"/>
      <c r="I658" s="22"/>
      <c r="J658" s="22"/>
      <c r="K658" s="22"/>
      <c r="L658" s="22"/>
      <c r="M658" s="22"/>
      <c r="N658" s="22"/>
    </row>
    <row r="659" spans="1:14" ht="40.5">
      <c r="A659" s="165"/>
      <c r="B659" s="66"/>
      <c r="C659" s="66"/>
      <c r="D659" s="66"/>
      <c r="E659" s="66"/>
      <c r="F659" s="73" t="s">
        <v>177</v>
      </c>
      <c r="G659" s="66"/>
      <c r="H659" s="22"/>
      <c r="I659" s="22"/>
      <c r="J659" s="22"/>
      <c r="K659" s="22"/>
      <c r="L659" s="22"/>
      <c r="M659" s="22"/>
      <c r="N659" s="22"/>
    </row>
    <row r="660" spans="1:14">
      <c r="A660" s="165"/>
      <c r="B660" s="66"/>
      <c r="C660" s="66"/>
      <c r="D660" s="66"/>
      <c r="E660" s="66"/>
      <c r="F660" s="73"/>
      <c r="G660" s="66"/>
      <c r="H660" s="22"/>
      <c r="I660" s="22"/>
      <c r="J660" s="22"/>
      <c r="K660" s="22"/>
      <c r="L660" s="22"/>
      <c r="M660" s="22"/>
      <c r="N660" s="22"/>
    </row>
    <row r="661" spans="1:14" ht="57" customHeight="1">
      <c r="A661" s="165"/>
      <c r="B661" s="66"/>
      <c r="C661" s="66"/>
      <c r="D661" s="66"/>
      <c r="E661" s="66"/>
      <c r="F661" s="73" t="s">
        <v>178</v>
      </c>
      <c r="G661" s="66"/>
      <c r="H661" s="22"/>
      <c r="I661" s="22"/>
      <c r="J661" s="22"/>
      <c r="K661" s="22"/>
      <c r="L661" s="22"/>
      <c r="M661" s="22"/>
      <c r="N661" s="22"/>
    </row>
    <row r="662" spans="1:14">
      <c r="A662" s="165"/>
      <c r="B662" s="66">
        <v>2930</v>
      </c>
      <c r="C662" s="66" t="s">
        <v>14</v>
      </c>
      <c r="D662" s="66">
        <v>3</v>
      </c>
      <c r="E662" s="66">
        <v>0</v>
      </c>
      <c r="F662" s="73" t="s">
        <v>178</v>
      </c>
      <c r="G662" s="66"/>
      <c r="H662" s="22"/>
      <c r="I662" s="22"/>
      <c r="J662" s="22"/>
      <c r="K662" s="22"/>
      <c r="L662" s="22"/>
      <c r="M662" s="22"/>
      <c r="N662" s="22"/>
    </row>
    <row r="663" spans="1:14" ht="35.25" customHeight="1">
      <c r="A663" s="165"/>
      <c r="B663" s="66"/>
      <c r="C663" s="66"/>
      <c r="D663" s="66"/>
      <c r="E663" s="66"/>
      <c r="F663" s="73" t="s">
        <v>338</v>
      </c>
      <c r="G663" s="66"/>
      <c r="H663" s="22"/>
      <c r="I663" s="22"/>
      <c r="J663" s="22"/>
      <c r="K663" s="22"/>
      <c r="L663" s="22"/>
      <c r="M663" s="22"/>
      <c r="N663" s="22"/>
    </row>
    <row r="664" spans="1:14" ht="55.5" customHeight="1">
      <c r="A664" s="165"/>
      <c r="B664" s="66">
        <v>2931</v>
      </c>
      <c r="C664" s="66" t="s">
        <v>14</v>
      </c>
      <c r="D664" s="66">
        <v>3</v>
      </c>
      <c r="E664" s="66">
        <v>1</v>
      </c>
      <c r="F664" s="73" t="s">
        <v>156</v>
      </c>
      <c r="G664" s="66"/>
      <c r="H664" s="22"/>
      <c r="I664" s="22"/>
      <c r="J664" s="22"/>
      <c r="K664" s="22"/>
      <c r="L664" s="22"/>
      <c r="M664" s="22"/>
      <c r="N664" s="22"/>
    </row>
    <row r="665" spans="1:14" ht="27">
      <c r="A665" s="165"/>
      <c r="B665" s="66"/>
      <c r="C665" s="66"/>
      <c r="D665" s="66"/>
      <c r="E665" s="66"/>
      <c r="F665" s="73" t="s">
        <v>579</v>
      </c>
      <c r="G665" s="66"/>
      <c r="H665" s="22"/>
      <c r="I665" s="22"/>
      <c r="J665" s="22"/>
      <c r="K665" s="22"/>
      <c r="L665" s="22"/>
      <c r="M665" s="22"/>
      <c r="N665" s="22"/>
    </row>
    <row r="666" spans="1:14" ht="40.5">
      <c r="A666" s="165"/>
      <c r="B666" s="66"/>
      <c r="C666" s="66"/>
      <c r="D666" s="66"/>
      <c r="E666" s="66"/>
      <c r="F666" s="73" t="s">
        <v>177</v>
      </c>
      <c r="G666" s="66"/>
      <c r="H666" s="22"/>
      <c r="I666" s="22"/>
      <c r="J666" s="22"/>
      <c r="K666" s="22"/>
      <c r="L666" s="22"/>
      <c r="M666" s="22"/>
      <c r="N666" s="22"/>
    </row>
    <row r="667" spans="1:14">
      <c r="A667" s="165"/>
      <c r="B667" s="66"/>
      <c r="C667" s="66"/>
      <c r="D667" s="66"/>
      <c r="E667" s="66"/>
      <c r="F667" s="73" t="s">
        <v>178</v>
      </c>
      <c r="G667" s="66"/>
      <c r="H667" s="22"/>
      <c r="I667" s="22"/>
      <c r="J667" s="22"/>
      <c r="K667" s="22"/>
      <c r="L667" s="22"/>
      <c r="M667" s="22"/>
      <c r="N667" s="22"/>
    </row>
    <row r="668" spans="1:14" ht="57.75" customHeight="1">
      <c r="A668" s="165"/>
      <c r="B668" s="66">
        <v>2932</v>
      </c>
      <c r="C668" s="66" t="s">
        <v>14</v>
      </c>
      <c r="D668" s="66">
        <v>3</v>
      </c>
      <c r="E668" s="66">
        <v>2</v>
      </c>
      <c r="F668" s="73" t="s">
        <v>178</v>
      </c>
      <c r="G668" s="66"/>
      <c r="H668" s="22"/>
      <c r="I668" s="22"/>
      <c r="J668" s="22"/>
      <c r="K668" s="22"/>
      <c r="L668" s="22"/>
      <c r="M668" s="22"/>
      <c r="N668" s="22"/>
    </row>
    <row r="669" spans="1:14">
      <c r="A669" s="165"/>
      <c r="B669" s="66"/>
      <c r="C669" s="66"/>
      <c r="D669" s="66"/>
      <c r="E669" s="66"/>
      <c r="F669" s="73" t="s">
        <v>340</v>
      </c>
      <c r="G669" s="66"/>
      <c r="H669" s="22"/>
      <c r="I669" s="22"/>
      <c r="J669" s="22"/>
      <c r="K669" s="22"/>
      <c r="L669" s="22"/>
      <c r="M669" s="22"/>
      <c r="N669" s="22"/>
    </row>
    <row r="670" spans="1:14" ht="40.5">
      <c r="A670" s="165"/>
      <c r="B670" s="66"/>
      <c r="C670" s="66"/>
      <c r="D670" s="66"/>
      <c r="E670" s="66"/>
      <c r="F670" s="73" t="s">
        <v>177</v>
      </c>
      <c r="G670" s="66"/>
      <c r="H670" s="22"/>
      <c r="I670" s="22"/>
      <c r="J670" s="22"/>
      <c r="K670" s="22"/>
      <c r="L670" s="22"/>
      <c r="M670" s="22"/>
      <c r="N670" s="22"/>
    </row>
    <row r="671" spans="1:14">
      <c r="A671" s="165"/>
      <c r="B671" s="66"/>
      <c r="C671" s="66"/>
      <c r="D671" s="66"/>
      <c r="E671" s="66"/>
      <c r="F671" s="73" t="s">
        <v>178</v>
      </c>
      <c r="G671" s="66"/>
      <c r="H671" s="22"/>
      <c r="I671" s="22"/>
      <c r="J671" s="22"/>
      <c r="K671" s="22"/>
      <c r="L671" s="22"/>
      <c r="M671" s="22"/>
      <c r="N671" s="22"/>
    </row>
    <row r="672" spans="1:14">
      <c r="A672" s="165"/>
      <c r="B672" s="66">
        <v>2940</v>
      </c>
      <c r="C672" s="66" t="s">
        <v>14</v>
      </c>
      <c r="D672" s="66">
        <v>4</v>
      </c>
      <c r="E672" s="66">
        <v>0</v>
      </c>
      <c r="F672" s="73" t="s">
        <v>178</v>
      </c>
      <c r="G672" s="66"/>
      <c r="H672" s="22"/>
      <c r="I672" s="22"/>
      <c r="J672" s="22"/>
      <c r="K672" s="22"/>
      <c r="L672" s="22"/>
      <c r="M672" s="22"/>
      <c r="N672" s="22"/>
    </row>
    <row r="673" spans="1:14">
      <c r="A673" s="165"/>
      <c r="B673" s="66"/>
      <c r="C673" s="66"/>
      <c r="D673" s="66"/>
      <c r="E673" s="66"/>
      <c r="F673" s="73" t="s">
        <v>341</v>
      </c>
      <c r="G673" s="66"/>
      <c r="H673" s="22"/>
      <c r="I673" s="22"/>
      <c r="J673" s="22"/>
      <c r="K673" s="22"/>
      <c r="L673" s="22"/>
      <c r="M673" s="22"/>
      <c r="N673" s="22"/>
    </row>
    <row r="674" spans="1:14" ht="54" customHeight="1">
      <c r="A674" s="165"/>
      <c r="B674" s="66">
        <v>2941</v>
      </c>
      <c r="C674" s="66" t="s">
        <v>14</v>
      </c>
      <c r="D674" s="66">
        <v>4</v>
      </c>
      <c r="E674" s="66">
        <v>1</v>
      </c>
      <c r="F674" s="73" t="s">
        <v>156</v>
      </c>
      <c r="G674" s="66"/>
      <c r="H674" s="22"/>
      <c r="I674" s="22"/>
      <c r="J674" s="22"/>
      <c r="K674" s="22"/>
      <c r="L674" s="22"/>
      <c r="M674" s="22"/>
      <c r="N674" s="22"/>
    </row>
    <row r="675" spans="1:14">
      <c r="A675" s="165"/>
      <c r="B675" s="66"/>
      <c r="C675" s="66"/>
      <c r="D675" s="66"/>
      <c r="E675" s="66"/>
      <c r="F675" s="73" t="s">
        <v>342</v>
      </c>
      <c r="G675" s="66"/>
      <c r="H675" s="22"/>
      <c r="I675" s="22"/>
      <c r="J675" s="22"/>
      <c r="K675" s="22"/>
      <c r="L675" s="22"/>
      <c r="M675" s="22"/>
      <c r="N675" s="22"/>
    </row>
    <row r="676" spans="1:14" ht="40.5">
      <c r="A676" s="165"/>
      <c r="B676" s="66"/>
      <c r="C676" s="66"/>
      <c r="D676" s="66"/>
      <c r="E676" s="66"/>
      <c r="F676" s="73" t="s">
        <v>177</v>
      </c>
      <c r="G676" s="66"/>
      <c r="H676" s="22"/>
      <c r="I676" s="22"/>
      <c r="J676" s="22"/>
      <c r="K676" s="22"/>
      <c r="L676" s="22"/>
      <c r="M676" s="22"/>
      <c r="N676" s="22"/>
    </row>
    <row r="677" spans="1:14" ht="56.25" customHeight="1">
      <c r="A677" s="165"/>
      <c r="B677" s="66"/>
      <c r="C677" s="66"/>
      <c r="D677" s="66"/>
      <c r="E677" s="66"/>
      <c r="F677" s="73" t="s">
        <v>178</v>
      </c>
      <c r="G677" s="66"/>
      <c r="H677" s="22"/>
      <c r="I677" s="22"/>
      <c r="J677" s="22"/>
      <c r="K677" s="22"/>
      <c r="L677" s="22"/>
      <c r="M677" s="22"/>
      <c r="N677" s="22"/>
    </row>
    <row r="678" spans="1:14">
      <c r="A678" s="165"/>
      <c r="B678" s="66">
        <v>2942</v>
      </c>
      <c r="C678" s="66" t="s">
        <v>14</v>
      </c>
      <c r="D678" s="66">
        <v>4</v>
      </c>
      <c r="E678" s="66">
        <v>2</v>
      </c>
      <c r="F678" s="73" t="s">
        <v>343</v>
      </c>
      <c r="G678" s="66"/>
      <c r="H678" s="22"/>
      <c r="I678" s="22"/>
      <c r="J678" s="22"/>
      <c r="K678" s="22"/>
      <c r="L678" s="22"/>
      <c r="M678" s="22"/>
      <c r="N678" s="22"/>
    </row>
    <row r="679" spans="1:14" ht="41.25" customHeight="1">
      <c r="A679" s="165"/>
      <c r="B679" s="66"/>
      <c r="C679" s="66"/>
      <c r="D679" s="66"/>
      <c r="E679" s="66"/>
      <c r="F679" s="73" t="s">
        <v>177</v>
      </c>
      <c r="G679" s="66"/>
      <c r="H679" s="22"/>
      <c r="I679" s="22"/>
      <c r="J679" s="22"/>
      <c r="K679" s="22"/>
      <c r="L679" s="22"/>
      <c r="M679" s="22"/>
      <c r="N679" s="22"/>
    </row>
    <row r="680" spans="1:14">
      <c r="A680" s="165"/>
      <c r="B680" s="66"/>
      <c r="C680" s="66"/>
      <c r="D680" s="66"/>
      <c r="E680" s="66"/>
      <c r="F680" s="73" t="s">
        <v>178</v>
      </c>
      <c r="G680" s="66"/>
      <c r="H680" s="22"/>
      <c r="I680" s="22"/>
      <c r="J680" s="22"/>
      <c r="K680" s="22"/>
      <c r="L680" s="22"/>
      <c r="M680" s="22"/>
      <c r="N680" s="22"/>
    </row>
    <row r="681" spans="1:14" ht="27">
      <c r="A681" s="165"/>
      <c r="B681" s="66">
        <v>2950</v>
      </c>
      <c r="C681" s="66" t="s">
        <v>14</v>
      </c>
      <c r="D681" s="66">
        <v>5</v>
      </c>
      <c r="E681" s="66">
        <v>0</v>
      </c>
      <c r="F681" s="73" t="s">
        <v>348</v>
      </c>
      <c r="G681" s="66"/>
      <c r="H681" s="22"/>
      <c r="I681" s="22"/>
      <c r="J681" s="22"/>
      <c r="K681" s="22"/>
      <c r="L681" s="22"/>
      <c r="M681" s="22"/>
      <c r="N681" s="22"/>
    </row>
    <row r="682" spans="1:14" ht="62.25" customHeight="1">
      <c r="A682" s="165"/>
      <c r="B682" s="66"/>
      <c r="C682" s="66"/>
      <c r="D682" s="66"/>
      <c r="E682" s="66"/>
      <c r="F682" s="73" t="s">
        <v>156</v>
      </c>
      <c r="G682" s="66"/>
      <c r="H682" s="22"/>
      <c r="I682" s="22"/>
      <c r="J682" s="22"/>
      <c r="K682" s="22"/>
      <c r="L682" s="22"/>
      <c r="M682" s="22"/>
      <c r="N682" s="22"/>
    </row>
    <row r="683" spans="1:14">
      <c r="A683" s="165"/>
      <c r="B683" s="66">
        <v>2951</v>
      </c>
      <c r="C683" s="66" t="s">
        <v>14</v>
      </c>
      <c r="D683" s="66">
        <v>5</v>
      </c>
      <c r="E683" s="66">
        <v>1</v>
      </c>
      <c r="F683" s="73" t="s">
        <v>345</v>
      </c>
      <c r="G683" s="66"/>
      <c r="H683" s="22"/>
      <c r="I683" s="22"/>
      <c r="J683" s="22"/>
      <c r="K683" s="22"/>
      <c r="L683" s="22"/>
      <c r="M683" s="22"/>
      <c r="N683" s="22"/>
    </row>
    <row r="684" spans="1:14" ht="40.5">
      <c r="A684" s="165"/>
      <c r="B684" s="66"/>
      <c r="C684" s="66"/>
      <c r="D684" s="66"/>
      <c r="E684" s="66"/>
      <c r="F684" s="73" t="s">
        <v>177</v>
      </c>
      <c r="G684" s="66"/>
      <c r="H684" s="22"/>
      <c r="I684" s="22"/>
      <c r="J684" s="22"/>
      <c r="K684" s="22"/>
      <c r="L684" s="22"/>
      <c r="M684" s="22"/>
      <c r="N684" s="22"/>
    </row>
    <row r="685" spans="1:14">
      <c r="A685" s="165"/>
      <c r="B685" s="66"/>
      <c r="C685" s="66"/>
      <c r="D685" s="66"/>
      <c r="E685" s="66"/>
      <c r="F685" s="73"/>
      <c r="G685" s="66"/>
      <c r="H685" s="22"/>
      <c r="I685" s="22"/>
      <c r="J685" s="22"/>
      <c r="K685" s="22"/>
      <c r="L685" s="22"/>
      <c r="M685" s="22"/>
      <c r="N685" s="22"/>
    </row>
    <row r="686" spans="1:14">
      <c r="A686" s="165"/>
      <c r="B686" s="66"/>
      <c r="C686" s="66"/>
      <c r="D686" s="66"/>
      <c r="E686" s="66"/>
      <c r="F686" s="73" t="s">
        <v>178</v>
      </c>
      <c r="G686" s="66"/>
      <c r="H686" s="22"/>
      <c r="I686" s="22"/>
      <c r="J686" s="22"/>
      <c r="K686" s="22"/>
      <c r="L686" s="22"/>
      <c r="M686" s="22"/>
      <c r="N686" s="22"/>
    </row>
    <row r="687" spans="1:14" ht="59.25" customHeight="1">
      <c r="A687" s="165"/>
      <c r="B687" s="66">
        <v>2952</v>
      </c>
      <c r="C687" s="66" t="s">
        <v>14</v>
      </c>
      <c r="D687" s="66">
        <v>5</v>
      </c>
      <c r="E687" s="66">
        <v>2</v>
      </c>
      <c r="F687" s="73" t="s">
        <v>178</v>
      </c>
      <c r="G687" s="66"/>
      <c r="H687" s="22"/>
      <c r="I687" s="22"/>
      <c r="J687" s="22"/>
      <c r="K687" s="22"/>
      <c r="L687" s="22"/>
      <c r="M687" s="22"/>
      <c r="N687" s="22"/>
    </row>
    <row r="688" spans="1:14">
      <c r="A688" s="165"/>
      <c r="B688" s="66"/>
      <c r="C688" s="66"/>
      <c r="D688" s="66"/>
      <c r="E688" s="66"/>
      <c r="F688" s="73" t="s">
        <v>346</v>
      </c>
      <c r="G688" s="66"/>
      <c r="H688" s="22"/>
      <c r="I688" s="22"/>
      <c r="J688" s="22"/>
      <c r="K688" s="22"/>
      <c r="L688" s="22"/>
      <c r="M688" s="22"/>
      <c r="N688" s="22"/>
    </row>
    <row r="689" spans="1:16" ht="38.25" customHeight="1">
      <c r="A689" s="165"/>
      <c r="B689" s="66"/>
      <c r="C689" s="66"/>
      <c r="D689" s="66"/>
      <c r="E689" s="66"/>
      <c r="F689" s="73" t="s">
        <v>177</v>
      </c>
      <c r="G689" s="66"/>
      <c r="H689" s="22"/>
      <c r="I689" s="22"/>
      <c r="J689" s="22"/>
      <c r="K689" s="22"/>
      <c r="L689" s="22"/>
      <c r="M689" s="22"/>
      <c r="N689" s="22"/>
    </row>
    <row r="690" spans="1:16">
      <c r="A690" s="165"/>
      <c r="B690" s="66"/>
      <c r="C690" s="66"/>
      <c r="D690" s="66"/>
      <c r="E690" s="66"/>
      <c r="F690" s="73" t="s">
        <v>178</v>
      </c>
      <c r="G690" s="66"/>
      <c r="H690" s="22"/>
      <c r="I690" s="22"/>
      <c r="J690" s="22"/>
      <c r="K690" s="22"/>
      <c r="L690" s="22"/>
      <c r="M690" s="22"/>
      <c r="N690" s="22"/>
    </row>
    <row r="691" spans="1:16" ht="27">
      <c r="A691" s="165"/>
      <c r="B691" s="66">
        <v>2960</v>
      </c>
      <c r="C691" s="66" t="s">
        <v>14</v>
      </c>
      <c r="D691" s="66">
        <v>6</v>
      </c>
      <c r="E691" s="66">
        <v>0</v>
      </c>
      <c r="F691" s="73" t="s">
        <v>347</v>
      </c>
      <c r="G691" s="66"/>
      <c r="H691" s="22">
        <f>+H693</f>
        <v>158022.755</v>
      </c>
      <c r="I691" s="22">
        <f t="shared" ref="I691:N691" si="108">+I693</f>
        <v>148022.755</v>
      </c>
      <c r="J691" s="22">
        <f t="shared" si="108"/>
        <v>10000</v>
      </c>
      <c r="K691" s="22">
        <f t="shared" si="108"/>
        <v>31167.427380951947</v>
      </c>
      <c r="L691" s="22">
        <f t="shared" si="108"/>
        <v>65193.833551586562</v>
      </c>
      <c r="M691" s="22">
        <f t="shared" si="108"/>
        <v>114708.1162103175</v>
      </c>
      <c r="N691" s="22">
        <f t="shared" si="108"/>
        <v>158022.755</v>
      </c>
    </row>
    <row r="692" spans="1:16" ht="38.25" customHeight="1">
      <c r="A692" s="165"/>
      <c r="B692" s="66"/>
      <c r="C692" s="66"/>
      <c r="D692" s="66"/>
      <c r="E692" s="66"/>
      <c r="F692" s="73" t="s">
        <v>156</v>
      </c>
      <c r="G692" s="66"/>
      <c r="H692" s="22"/>
      <c r="I692" s="22"/>
      <c r="J692" s="22"/>
      <c r="K692" s="22"/>
      <c r="L692" s="22"/>
      <c r="M692" s="22"/>
      <c r="N692" s="22"/>
    </row>
    <row r="693" spans="1:16" ht="56.25" customHeight="1">
      <c r="A693" s="165"/>
      <c r="B693" s="66">
        <v>2961</v>
      </c>
      <c r="C693" s="66" t="s">
        <v>14</v>
      </c>
      <c r="D693" s="66">
        <v>6</v>
      </c>
      <c r="E693" s="66">
        <v>1</v>
      </c>
      <c r="F693" s="6" t="s">
        <v>347</v>
      </c>
      <c r="G693" s="66"/>
      <c r="H693" s="22">
        <f>+H694+H695+H696+H697</f>
        <v>158022.755</v>
      </c>
      <c r="I693" s="22">
        <f t="shared" ref="I693:N693" si="109">+I694+I695+I696+I697</f>
        <v>148022.755</v>
      </c>
      <c r="J693" s="22">
        <f t="shared" si="109"/>
        <v>10000</v>
      </c>
      <c r="K693" s="22">
        <f t="shared" si="109"/>
        <v>31167.427380951947</v>
      </c>
      <c r="L693" s="22">
        <f t="shared" si="109"/>
        <v>65193.833551586562</v>
      </c>
      <c r="M693" s="22">
        <f t="shared" si="109"/>
        <v>114708.1162103175</v>
      </c>
      <c r="N693" s="22">
        <f t="shared" si="109"/>
        <v>158022.755</v>
      </c>
    </row>
    <row r="694" spans="1:16" ht="27">
      <c r="A694" s="165"/>
      <c r="B694" s="66"/>
      <c r="C694" s="66"/>
      <c r="D694" s="66"/>
      <c r="E694" s="66"/>
      <c r="F694" s="73" t="s">
        <v>597</v>
      </c>
      <c r="G694" s="66">
        <v>4819</v>
      </c>
      <c r="H694" s="22">
        <f>+I694+J694</f>
        <v>70399.054999999993</v>
      </c>
      <c r="I694" s="22">
        <v>70399.054999999993</v>
      </c>
      <c r="J694" s="22"/>
      <c r="K694" s="22">
        <v>15642.727380951947</v>
      </c>
      <c r="L694" s="22">
        <v>30263.133551586565</v>
      </c>
      <c r="M694" s="22">
        <v>50371.616210317501</v>
      </c>
      <c r="N694" s="22">
        <f t="shared" ref="N694" si="110">+H694</f>
        <v>70399.054999999993</v>
      </c>
    </row>
    <row r="695" spans="1:16">
      <c r="A695" s="165"/>
      <c r="B695" s="66"/>
      <c r="C695" s="66"/>
      <c r="D695" s="66"/>
      <c r="E695" s="66"/>
      <c r="F695" s="73" t="s">
        <v>578</v>
      </c>
      <c r="G695" s="66">
        <v>4729</v>
      </c>
      <c r="H695" s="22">
        <f>+I695+J695</f>
        <v>77623.7</v>
      </c>
      <c r="I695" s="22">
        <v>77623.7</v>
      </c>
      <c r="J695" s="22"/>
      <c r="K695" s="156">
        <v>15524.7</v>
      </c>
      <c r="L695" s="156">
        <v>34930.699999999997</v>
      </c>
      <c r="M695" s="156">
        <v>54336.5</v>
      </c>
      <c r="N695" s="156">
        <f t="shared" ref="N695:N697" si="111">+H695</f>
        <v>77623.7</v>
      </c>
    </row>
    <row r="696" spans="1:16" ht="27">
      <c r="A696" s="165"/>
      <c r="B696" s="66"/>
      <c r="C696" s="66"/>
      <c r="D696" s="66"/>
      <c r="E696" s="66"/>
      <c r="F696" s="73" t="s">
        <v>861</v>
      </c>
      <c r="G696" s="66" t="s">
        <v>42</v>
      </c>
      <c r="H696" s="22">
        <f>SUM(I696:J696)</f>
        <v>0</v>
      </c>
      <c r="I696" s="22"/>
      <c r="J696" s="22"/>
      <c r="K696" s="22"/>
      <c r="L696" s="22"/>
      <c r="M696" s="22"/>
      <c r="N696" s="156">
        <f t="shared" si="111"/>
        <v>0</v>
      </c>
      <c r="P696" s="165"/>
    </row>
    <row r="697" spans="1:16" ht="27">
      <c r="A697" s="165"/>
      <c r="B697" s="66"/>
      <c r="C697" s="66"/>
      <c r="D697" s="66"/>
      <c r="E697" s="66"/>
      <c r="F697" s="73" t="s">
        <v>173</v>
      </c>
      <c r="G697" s="66" t="s">
        <v>92</v>
      </c>
      <c r="H697" s="22">
        <f>SUM(I697:J697)</f>
        <v>10000</v>
      </c>
      <c r="I697" s="22"/>
      <c r="J697" s="22">
        <v>10000</v>
      </c>
      <c r="K697" s="22"/>
      <c r="L697" s="22"/>
      <c r="M697" s="22">
        <v>10000</v>
      </c>
      <c r="N697" s="156">
        <f t="shared" si="111"/>
        <v>10000</v>
      </c>
      <c r="P697" s="165"/>
    </row>
    <row r="698" spans="1:16" ht="27">
      <c r="A698" s="165"/>
      <c r="B698" s="66">
        <v>2970</v>
      </c>
      <c r="C698" s="66" t="s">
        <v>14</v>
      </c>
      <c r="D698" s="66">
        <v>7</v>
      </c>
      <c r="E698" s="66">
        <v>0</v>
      </c>
      <c r="F698" s="73" t="s">
        <v>348</v>
      </c>
      <c r="G698" s="66"/>
      <c r="H698" s="22"/>
      <c r="I698" s="22"/>
      <c r="J698" s="22"/>
      <c r="K698" s="22"/>
      <c r="L698" s="22"/>
      <c r="M698" s="22"/>
      <c r="N698" s="22"/>
    </row>
    <row r="699" spans="1:16" ht="36.75" customHeight="1">
      <c r="A699" s="165"/>
      <c r="B699" s="66"/>
      <c r="C699" s="66"/>
      <c r="D699" s="66"/>
      <c r="E699" s="66"/>
      <c r="F699" s="73" t="s">
        <v>156</v>
      </c>
      <c r="G699" s="66"/>
      <c r="H699" s="22"/>
      <c r="I699" s="22"/>
      <c r="J699" s="22"/>
      <c r="K699" s="22"/>
      <c r="L699" s="22"/>
      <c r="M699" s="22"/>
      <c r="N699" s="22"/>
    </row>
    <row r="700" spans="1:16" ht="54" customHeight="1">
      <c r="A700" s="165"/>
      <c r="B700" s="66"/>
      <c r="C700" s="66"/>
      <c r="D700" s="66"/>
      <c r="E700" s="66"/>
      <c r="G700" s="66"/>
      <c r="H700" s="22"/>
      <c r="I700" s="22"/>
      <c r="J700" s="22"/>
      <c r="K700" s="22"/>
      <c r="L700" s="22"/>
      <c r="M700" s="22"/>
      <c r="N700" s="22"/>
    </row>
    <row r="701" spans="1:16" ht="27">
      <c r="A701" s="165"/>
      <c r="B701" s="66">
        <v>2971</v>
      </c>
      <c r="C701" s="66" t="s">
        <v>14</v>
      </c>
      <c r="D701" s="66">
        <v>7</v>
      </c>
      <c r="E701" s="66">
        <v>1</v>
      </c>
      <c r="F701" s="73" t="s">
        <v>348</v>
      </c>
      <c r="G701" s="66"/>
      <c r="H701" s="22"/>
      <c r="I701" s="22"/>
      <c r="J701" s="22"/>
      <c r="K701" s="22"/>
      <c r="L701" s="22"/>
      <c r="M701" s="22"/>
      <c r="N701" s="22"/>
    </row>
    <row r="702" spans="1:16" ht="40.5">
      <c r="A702" s="165"/>
      <c r="B702" s="66"/>
      <c r="C702" s="66"/>
      <c r="D702" s="66"/>
      <c r="E702" s="66"/>
      <c r="F702" s="73" t="s">
        <v>177</v>
      </c>
      <c r="G702" s="66"/>
      <c r="H702" s="22"/>
      <c r="I702" s="22"/>
      <c r="J702" s="22"/>
      <c r="K702" s="22"/>
      <c r="L702" s="22"/>
      <c r="M702" s="22"/>
      <c r="N702" s="22"/>
    </row>
    <row r="703" spans="1:16">
      <c r="A703" s="165"/>
      <c r="B703" s="66"/>
      <c r="C703" s="66"/>
      <c r="D703" s="66"/>
      <c r="E703" s="66"/>
      <c r="F703" s="73" t="s">
        <v>178</v>
      </c>
      <c r="G703" s="66"/>
      <c r="H703" s="22"/>
      <c r="I703" s="22"/>
      <c r="J703" s="22"/>
      <c r="K703" s="22"/>
      <c r="L703" s="22"/>
      <c r="M703" s="22"/>
      <c r="N703" s="22"/>
    </row>
    <row r="704" spans="1:16">
      <c r="A704" s="165"/>
      <c r="B704" s="66">
        <v>2980</v>
      </c>
      <c r="C704" s="66" t="s">
        <v>14</v>
      </c>
      <c r="D704" s="66">
        <v>8</v>
      </c>
      <c r="E704" s="66">
        <v>0</v>
      </c>
      <c r="F704" s="73" t="s">
        <v>349</v>
      </c>
      <c r="G704" s="66"/>
      <c r="H704" s="22"/>
      <c r="I704" s="22"/>
      <c r="J704" s="22"/>
      <c r="K704" s="22"/>
      <c r="L704" s="22"/>
      <c r="M704" s="22"/>
      <c r="N704" s="22"/>
    </row>
    <row r="705" spans="1:14" ht="57.75" customHeight="1">
      <c r="A705" s="165"/>
      <c r="B705" s="66"/>
      <c r="C705" s="66"/>
      <c r="D705" s="66"/>
      <c r="E705" s="66"/>
      <c r="F705" s="73" t="s">
        <v>156</v>
      </c>
      <c r="G705" s="66"/>
      <c r="H705" s="22"/>
      <c r="I705" s="22"/>
      <c r="J705" s="22"/>
      <c r="K705" s="22"/>
      <c r="L705" s="22"/>
      <c r="M705" s="22"/>
      <c r="N705" s="22"/>
    </row>
    <row r="706" spans="1:14">
      <c r="A706" s="165"/>
      <c r="B706" s="66">
        <v>2981</v>
      </c>
      <c r="C706" s="66" t="s">
        <v>14</v>
      </c>
      <c r="D706" s="66">
        <v>8</v>
      </c>
      <c r="E706" s="66">
        <v>1</v>
      </c>
      <c r="F706" s="73" t="s">
        <v>349</v>
      </c>
      <c r="G706" s="66"/>
      <c r="H706" s="22"/>
      <c r="I706" s="22"/>
      <c r="J706" s="22"/>
      <c r="K706" s="22"/>
      <c r="L706" s="22"/>
      <c r="M706" s="22"/>
      <c r="N706" s="22"/>
    </row>
    <row r="707" spans="1:14" ht="40.5">
      <c r="A707" s="165"/>
      <c r="B707" s="66"/>
      <c r="C707" s="66"/>
      <c r="D707" s="66"/>
      <c r="E707" s="66"/>
      <c r="F707" s="73" t="s">
        <v>177</v>
      </c>
      <c r="G707" s="66"/>
      <c r="H707" s="22"/>
      <c r="I707" s="22"/>
      <c r="J707" s="22"/>
      <c r="K707" s="22"/>
      <c r="L707" s="22"/>
      <c r="M707" s="22"/>
      <c r="N707" s="22"/>
    </row>
    <row r="708" spans="1:14">
      <c r="A708" s="165"/>
      <c r="B708" s="66"/>
      <c r="C708" s="66"/>
      <c r="D708" s="66"/>
      <c r="E708" s="66"/>
      <c r="F708" s="73" t="s">
        <v>178</v>
      </c>
      <c r="G708" s="66"/>
      <c r="H708" s="22"/>
      <c r="I708" s="22"/>
      <c r="J708" s="22"/>
      <c r="K708" s="22"/>
      <c r="L708" s="22"/>
      <c r="M708" s="22"/>
      <c r="N708" s="22"/>
    </row>
    <row r="709" spans="1:14" ht="40.5">
      <c r="A709" s="165"/>
      <c r="B709" s="66">
        <v>3000</v>
      </c>
      <c r="C709" s="66" t="s">
        <v>15</v>
      </c>
      <c r="D709" s="66">
        <v>0</v>
      </c>
      <c r="E709" s="66">
        <v>0</v>
      </c>
      <c r="F709" s="73" t="s">
        <v>350</v>
      </c>
      <c r="G709" s="66"/>
      <c r="H709" s="22">
        <f t="shared" ref="H709:N709" si="112">H710+H719+H724+H728+H734+H739+H746+H759</f>
        <v>50306</v>
      </c>
      <c r="I709" s="22">
        <f t="shared" si="112"/>
        <v>50306</v>
      </c>
      <c r="J709" s="22">
        <f t="shared" si="112"/>
        <v>0</v>
      </c>
      <c r="K709" s="22">
        <f t="shared" si="112"/>
        <v>2321.7142857142858</v>
      </c>
      <c r="L709" s="22">
        <f t="shared" si="112"/>
        <v>8737.0555555555547</v>
      </c>
      <c r="M709" s="22">
        <f t="shared" si="112"/>
        <v>23626.722222222219</v>
      </c>
      <c r="N709" s="22">
        <f t="shared" si="112"/>
        <v>50306</v>
      </c>
    </row>
    <row r="710" spans="1:14">
      <c r="A710" s="165"/>
      <c r="B710" s="66"/>
      <c r="C710" s="66"/>
      <c r="D710" s="66"/>
      <c r="E710" s="66"/>
      <c r="F710" s="73" t="s">
        <v>154</v>
      </c>
      <c r="G710" s="66"/>
      <c r="H710" s="22"/>
      <c r="I710" s="22"/>
      <c r="J710" s="22"/>
      <c r="K710" s="22"/>
      <c r="L710" s="22"/>
      <c r="M710" s="22"/>
      <c r="N710" s="22"/>
    </row>
    <row r="711" spans="1:14">
      <c r="A711" s="165"/>
      <c r="B711" s="66">
        <v>3010</v>
      </c>
      <c r="C711" s="66" t="s">
        <v>15</v>
      </c>
      <c r="D711" s="66">
        <v>1</v>
      </c>
      <c r="E711" s="66">
        <v>0</v>
      </c>
      <c r="F711" s="73" t="s">
        <v>351</v>
      </c>
      <c r="G711" s="66"/>
      <c r="H711" s="22"/>
      <c r="I711" s="22"/>
      <c r="J711" s="22"/>
      <c r="K711" s="22"/>
      <c r="L711" s="22"/>
      <c r="M711" s="22"/>
      <c r="N711" s="22"/>
    </row>
    <row r="712" spans="1:14" ht="55.5" customHeight="1">
      <c r="A712" s="165"/>
      <c r="B712" s="66"/>
      <c r="C712" s="66"/>
      <c r="D712" s="66"/>
      <c r="E712" s="66"/>
      <c r="F712" s="73" t="s">
        <v>156</v>
      </c>
      <c r="G712" s="66"/>
      <c r="H712" s="22"/>
      <c r="I712" s="22"/>
      <c r="J712" s="22"/>
      <c r="K712" s="22"/>
      <c r="L712" s="22"/>
      <c r="M712" s="22"/>
      <c r="N712" s="22"/>
    </row>
    <row r="713" spans="1:14">
      <c r="A713" s="165"/>
      <c r="B713" s="66">
        <v>3011</v>
      </c>
      <c r="C713" s="66" t="s">
        <v>15</v>
      </c>
      <c r="D713" s="66">
        <v>1</v>
      </c>
      <c r="E713" s="66">
        <v>1</v>
      </c>
      <c r="F713" s="73" t="s">
        <v>352</v>
      </c>
      <c r="G713" s="66"/>
      <c r="H713" s="22"/>
      <c r="I713" s="22"/>
      <c r="J713" s="22"/>
      <c r="K713" s="22"/>
      <c r="L713" s="22"/>
      <c r="M713" s="22"/>
      <c r="N713" s="22"/>
    </row>
    <row r="714" spans="1:14" ht="40.5">
      <c r="A714" s="165"/>
      <c r="B714" s="66"/>
      <c r="C714" s="66"/>
      <c r="D714" s="66"/>
      <c r="E714" s="66"/>
      <c r="F714" s="73" t="s">
        <v>177</v>
      </c>
      <c r="G714" s="66"/>
      <c r="H714" s="22"/>
      <c r="I714" s="22"/>
      <c r="J714" s="22"/>
      <c r="K714" s="22"/>
      <c r="L714" s="22"/>
      <c r="M714" s="22"/>
      <c r="N714" s="22"/>
    </row>
    <row r="715" spans="1:14" ht="51.75" customHeight="1">
      <c r="A715" s="165"/>
      <c r="B715" s="66">
        <v>3012</v>
      </c>
      <c r="C715" s="66"/>
      <c r="D715" s="66"/>
      <c r="E715" s="66"/>
      <c r="F715" s="73" t="s">
        <v>178</v>
      </c>
      <c r="G715" s="66"/>
      <c r="H715" s="22"/>
      <c r="I715" s="22"/>
      <c r="J715" s="22"/>
      <c r="K715" s="22"/>
      <c r="L715" s="22"/>
      <c r="M715" s="22"/>
      <c r="N715" s="22"/>
    </row>
    <row r="716" spans="1:14">
      <c r="A716" s="165"/>
      <c r="B716" s="66"/>
      <c r="C716" s="66" t="s">
        <v>15</v>
      </c>
      <c r="D716" s="66">
        <v>1</v>
      </c>
      <c r="E716" s="66">
        <v>2</v>
      </c>
      <c r="F716" s="73" t="s">
        <v>353</v>
      </c>
      <c r="G716" s="66"/>
      <c r="H716" s="22"/>
      <c r="I716" s="22"/>
      <c r="J716" s="22"/>
      <c r="K716" s="22"/>
      <c r="L716" s="22"/>
      <c r="M716" s="22"/>
      <c r="N716" s="22"/>
    </row>
    <row r="717" spans="1:14" ht="40.5">
      <c r="A717" s="165"/>
      <c r="B717" s="66"/>
      <c r="C717" s="66"/>
      <c r="D717" s="66"/>
      <c r="E717" s="66"/>
      <c r="F717" s="73" t="s">
        <v>177</v>
      </c>
      <c r="G717" s="66"/>
      <c r="H717" s="22"/>
      <c r="I717" s="22"/>
      <c r="J717" s="22"/>
      <c r="K717" s="22"/>
      <c r="L717" s="22"/>
      <c r="M717" s="22"/>
      <c r="N717" s="22"/>
    </row>
    <row r="718" spans="1:14">
      <c r="A718" s="165"/>
      <c r="B718" s="66"/>
      <c r="C718" s="66"/>
      <c r="D718" s="66"/>
      <c r="E718" s="66"/>
      <c r="F718" s="73" t="s">
        <v>178</v>
      </c>
      <c r="G718" s="66"/>
      <c r="H718" s="22"/>
      <c r="I718" s="22"/>
      <c r="J718" s="22"/>
      <c r="K718" s="22"/>
      <c r="L718" s="22"/>
      <c r="M718" s="22"/>
      <c r="N718" s="22"/>
    </row>
    <row r="719" spans="1:14">
      <c r="A719" s="165"/>
      <c r="B719" s="66">
        <v>3020</v>
      </c>
      <c r="C719" s="66" t="s">
        <v>15</v>
      </c>
      <c r="D719" s="66">
        <v>2</v>
      </c>
      <c r="E719" s="66">
        <v>0</v>
      </c>
      <c r="F719" s="73" t="s">
        <v>354</v>
      </c>
      <c r="G719" s="66"/>
      <c r="H719" s="22"/>
      <c r="I719" s="22"/>
      <c r="J719" s="22"/>
      <c r="K719" s="22"/>
      <c r="L719" s="22"/>
      <c r="M719" s="22"/>
      <c r="N719" s="22"/>
    </row>
    <row r="720" spans="1:14" ht="57" customHeight="1">
      <c r="A720" s="165"/>
      <c r="B720" s="66"/>
      <c r="C720" s="66"/>
      <c r="D720" s="66"/>
      <c r="E720" s="66"/>
      <c r="F720" s="73" t="s">
        <v>156</v>
      </c>
      <c r="G720" s="66"/>
      <c r="H720" s="22"/>
      <c r="I720" s="22"/>
      <c r="J720" s="22"/>
      <c r="K720" s="22"/>
      <c r="L720" s="22"/>
      <c r="M720" s="22"/>
      <c r="N720" s="22"/>
    </row>
    <row r="721" spans="1:14">
      <c r="A721" s="165"/>
      <c r="B721" s="66">
        <v>3021</v>
      </c>
      <c r="C721" s="66" t="s">
        <v>15</v>
      </c>
      <c r="D721" s="66">
        <v>2</v>
      </c>
      <c r="E721" s="66">
        <v>1</v>
      </c>
      <c r="F721" s="73" t="s">
        <v>354</v>
      </c>
      <c r="G721" s="66"/>
      <c r="H721" s="22"/>
      <c r="I721" s="22"/>
      <c r="J721" s="22"/>
      <c r="K721" s="22"/>
      <c r="L721" s="22"/>
      <c r="M721" s="22"/>
      <c r="N721" s="22"/>
    </row>
    <row r="722" spans="1:14" ht="40.5">
      <c r="A722" s="165"/>
      <c r="B722" s="66"/>
      <c r="C722" s="66"/>
      <c r="D722" s="66"/>
      <c r="E722" s="66"/>
      <c r="F722" s="73" t="s">
        <v>177</v>
      </c>
      <c r="G722" s="66"/>
      <c r="H722" s="22"/>
      <c r="I722" s="22"/>
      <c r="J722" s="22"/>
      <c r="K722" s="22"/>
      <c r="L722" s="22"/>
      <c r="M722" s="22"/>
      <c r="N722" s="22"/>
    </row>
    <row r="723" spans="1:14">
      <c r="A723" s="165"/>
      <c r="B723" s="66"/>
      <c r="C723" s="66"/>
      <c r="D723" s="66"/>
      <c r="E723" s="66"/>
      <c r="F723" s="73" t="s">
        <v>178</v>
      </c>
      <c r="G723" s="66"/>
      <c r="H723" s="22"/>
      <c r="I723" s="22"/>
      <c r="J723" s="22"/>
      <c r="K723" s="22"/>
      <c r="L723" s="22"/>
      <c r="M723" s="22"/>
      <c r="N723" s="22"/>
    </row>
    <row r="724" spans="1:14">
      <c r="A724" s="165"/>
      <c r="B724" s="66">
        <v>3030</v>
      </c>
      <c r="C724" s="66" t="s">
        <v>15</v>
      </c>
      <c r="D724" s="66">
        <v>3</v>
      </c>
      <c r="E724" s="66">
        <v>0</v>
      </c>
      <c r="F724" s="73" t="s">
        <v>355</v>
      </c>
      <c r="G724" s="66"/>
      <c r="H724" s="22">
        <f t="shared" ref="H724:N724" si="113">H726</f>
        <v>2606</v>
      </c>
      <c r="I724" s="22">
        <f t="shared" si="113"/>
        <v>2606</v>
      </c>
      <c r="J724" s="22">
        <f t="shared" si="113"/>
        <v>0</v>
      </c>
      <c r="K724" s="22">
        <f t="shared" si="113"/>
        <v>726.47619047619048</v>
      </c>
      <c r="L724" s="22">
        <f t="shared" si="113"/>
        <v>1357.2936507936508</v>
      </c>
      <c r="M724" s="22">
        <f t="shared" si="113"/>
        <v>2039.8174603174605</v>
      </c>
      <c r="N724" s="22">
        <f t="shared" si="113"/>
        <v>2606</v>
      </c>
    </row>
    <row r="725" spans="1:14">
      <c r="A725" s="165"/>
      <c r="B725" s="66"/>
      <c r="C725" s="66"/>
      <c r="D725" s="66"/>
      <c r="E725" s="66"/>
      <c r="F725" s="73" t="s">
        <v>156</v>
      </c>
      <c r="G725" s="66"/>
      <c r="H725" s="22"/>
      <c r="I725" s="22"/>
      <c r="J725" s="22"/>
      <c r="K725" s="22"/>
      <c r="L725" s="22"/>
      <c r="M725" s="22"/>
      <c r="N725" s="22"/>
    </row>
    <row r="726" spans="1:14">
      <c r="A726" s="165"/>
      <c r="B726" s="66">
        <v>3031</v>
      </c>
      <c r="C726" s="66" t="s">
        <v>15</v>
      </c>
      <c r="D726" s="66">
        <v>3</v>
      </c>
      <c r="E726" s="66">
        <v>1</v>
      </c>
      <c r="F726" s="73" t="s">
        <v>355</v>
      </c>
      <c r="G726" s="66">
        <v>4239</v>
      </c>
      <c r="H726" s="22">
        <f>SUM(I726:J726)</f>
        <v>2606</v>
      </c>
      <c r="I726" s="22">
        <f>2500+106</f>
        <v>2606</v>
      </c>
      <c r="J726" s="22"/>
      <c r="K726" s="156">
        <v>726.47619047619048</v>
      </c>
      <c r="L726" s="156">
        <v>1357.2936507936508</v>
      </c>
      <c r="M726" s="156">
        <v>2039.8174603174605</v>
      </c>
      <c r="N726" s="156">
        <f t="shared" ref="N726" si="114">+H726</f>
        <v>2606</v>
      </c>
    </row>
    <row r="727" spans="1:14">
      <c r="A727" s="165"/>
      <c r="B727" s="66"/>
      <c r="C727" s="66"/>
      <c r="D727" s="66"/>
      <c r="E727" s="66"/>
      <c r="F727" s="73"/>
      <c r="G727" s="66"/>
      <c r="H727" s="22"/>
      <c r="I727" s="22"/>
      <c r="J727" s="22"/>
      <c r="K727" s="22"/>
      <c r="L727" s="22"/>
      <c r="M727" s="22"/>
      <c r="N727" s="22"/>
    </row>
    <row r="728" spans="1:14">
      <c r="A728" s="165"/>
      <c r="B728" s="66">
        <v>3040</v>
      </c>
      <c r="C728" s="66" t="s">
        <v>15</v>
      </c>
      <c r="D728" s="66">
        <v>4</v>
      </c>
      <c r="E728" s="66">
        <v>0</v>
      </c>
      <c r="F728" s="73" t="s">
        <v>356</v>
      </c>
      <c r="G728" s="66"/>
      <c r="H728" s="22">
        <f>+H730</f>
        <v>20000</v>
      </c>
      <c r="I728" s="22">
        <f t="shared" ref="I728:N728" si="115">+I730</f>
        <v>20000</v>
      </c>
      <c r="J728" s="22">
        <f t="shared" si="115"/>
        <v>0</v>
      </c>
      <c r="K728" s="22">
        <f t="shared" si="115"/>
        <v>0</v>
      </c>
      <c r="L728" s="22">
        <f t="shared" si="115"/>
        <v>0</v>
      </c>
      <c r="M728" s="22">
        <f t="shared" si="115"/>
        <v>0</v>
      </c>
      <c r="N728" s="22">
        <f t="shared" si="115"/>
        <v>20000</v>
      </c>
    </row>
    <row r="729" spans="1:14" ht="56.25" customHeight="1">
      <c r="A729" s="165"/>
      <c r="B729" s="66"/>
      <c r="C729" s="66"/>
      <c r="D729" s="66"/>
      <c r="E729" s="66"/>
      <c r="F729" s="73" t="s">
        <v>156</v>
      </c>
      <c r="G729" s="66"/>
      <c r="H729" s="22"/>
      <c r="I729" s="22"/>
      <c r="J729" s="22"/>
      <c r="K729" s="22"/>
      <c r="L729" s="22"/>
      <c r="M729" s="22"/>
      <c r="N729" s="22"/>
    </row>
    <row r="730" spans="1:14">
      <c r="A730" s="165"/>
      <c r="B730" s="66">
        <v>3041</v>
      </c>
      <c r="C730" s="66" t="s">
        <v>15</v>
      </c>
      <c r="D730" s="66">
        <v>4</v>
      </c>
      <c r="E730" s="66">
        <v>1</v>
      </c>
      <c r="F730" s="73" t="s">
        <v>356</v>
      </c>
      <c r="G730" s="66"/>
      <c r="H730" s="22">
        <f>+H732</f>
        <v>20000</v>
      </c>
      <c r="I730" s="22">
        <f t="shared" ref="I730:N730" si="116">+I732</f>
        <v>20000</v>
      </c>
      <c r="J730" s="22">
        <f t="shared" si="116"/>
        <v>0</v>
      </c>
      <c r="K730" s="22">
        <f t="shared" si="116"/>
        <v>0</v>
      </c>
      <c r="L730" s="22">
        <f t="shared" si="116"/>
        <v>0</v>
      </c>
      <c r="M730" s="22">
        <f t="shared" si="116"/>
        <v>0</v>
      </c>
      <c r="N730" s="22">
        <f t="shared" si="116"/>
        <v>20000</v>
      </c>
    </row>
    <row r="731" spans="1:14" ht="40.5">
      <c r="A731" s="165"/>
      <c r="B731" s="66"/>
      <c r="C731" s="66"/>
      <c r="D731" s="66"/>
      <c r="E731" s="66"/>
      <c r="F731" s="73" t="s">
        <v>177</v>
      </c>
      <c r="G731" s="66"/>
      <c r="H731" s="22"/>
      <c r="I731" s="22"/>
      <c r="J731" s="22"/>
      <c r="K731" s="22"/>
      <c r="L731" s="22"/>
      <c r="M731" s="22"/>
      <c r="N731" s="22"/>
    </row>
    <row r="732" spans="1:14">
      <c r="A732" s="165"/>
      <c r="B732" s="66"/>
      <c r="C732" s="66"/>
      <c r="D732" s="66"/>
      <c r="E732" s="66"/>
      <c r="F732" s="73" t="s">
        <v>578</v>
      </c>
      <c r="G732" s="66">
        <v>4729</v>
      </c>
      <c r="H732" s="22">
        <f>SUM(I732:J732)</f>
        <v>20000</v>
      </c>
      <c r="I732" s="22">
        <v>20000</v>
      </c>
      <c r="J732" s="22"/>
      <c r="K732" s="156">
        <v>0</v>
      </c>
      <c r="L732" s="156">
        <v>0</v>
      </c>
      <c r="M732" s="156">
        <v>0</v>
      </c>
      <c r="N732" s="156">
        <f t="shared" ref="N732" si="117">+H732</f>
        <v>20000</v>
      </c>
    </row>
    <row r="733" spans="1:14">
      <c r="A733" s="165"/>
      <c r="B733" s="66"/>
      <c r="C733" s="66"/>
      <c r="D733" s="66"/>
      <c r="E733" s="66"/>
      <c r="F733" s="73" t="s">
        <v>178</v>
      </c>
      <c r="G733" s="66"/>
      <c r="H733" s="22"/>
      <c r="I733" s="22"/>
      <c r="J733" s="22"/>
      <c r="K733" s="22"/>
      <c r="L733" s="22"/>
      <c r="M733" s="22"/>
      <c r="N733" s="22"/>
    </row>
    <row r="734" spans="1:14">
      <c r="A734" s="165"/>
      <c r="B734" s="66">
        <v>3050</v>
      </c>
      <c r="C734" s="66" t="s">
        <v>15</v>
      </c>
      <c r="D734" s="66">
        <v>5</v>
      </c>
      <c r="E734" s="66">
        <v>0</v>
      </c>
      <c r="F734" s="73" t="s">
        <v>357</v>
      </c>
      <c r="G734" s="66"/>
      <c r="H734" s="22"/>
      <c r="I734" s="22"/>
      <c r="J734" s="22"/>
      <c r="K734" s="22"/>
      <c r="L734" s="22"/>
      <c r="M734" s="22"/>
      <c r="N734" s="22"/>
    </row>
    <row r="735" spans="1:14" ht="60.75" customHeight="1">
      <c r="A735" s="165"/>
      <c r="B735" s="66"/>
      <c r="C735" s="66"/>
      <c r="D735" s="66"/>
      <c r="E735" s="66"/>
      <c r="F735" s="73" t="s">
        <v>156</v>
      </c>
      <c r="G735" s="66"/>
      <c r="H735" s="22"/>
      <c r="I735" s="22"/>
      <c r="J735" s="22"/>
      <c r="K735" s="22"/>
      <c r="L735" s="22"/>
      <c r="M735" s="22"/>
      <c r="N735" s="22"/>
    </row>
    <row r="736" spans="1:14">
      <c r="A736" s="165"/>
      <c r="B736" s="66">
        <v>3051</v>
      </c>
      <c r="C736" s="66" t="s">
        <v>15</v>
      </c>
      <c r="D736" s="66">
        <v>5</v>
      </c>
      <c r="E736" s="66">
        <v>1</v>
      </c>
      <c r="F736" s="73" t="s">
        <v>357</v>
      </c>
      <c r="G736" s="66"/>
      <c r="H736" s="22"/>
      <c r="I736" s="22"/>
      <c r="J736" s="22"/>
      <c r="K736" s="22"/>
      <c r="L736" s="22"/>
      <c r="M736" s="22"/>
      <c r="N736" s="22"/>
    </row>
    <row r="737" spans="1:16" ht="40.5">
      <c r="A737" s="165"/>
      <c r="B737" s="66"/>
      <c r="C737" s="66"/>
      <c r="D737" s="66"/>
      <c r="E737" s="66"/>
      <c r="F737" s="73" t="s">
        <v>177</v>
      </c>
      <c r="G737" s="66"/>
      <c r="H737" s="22"/>
      <c r="I737" s="22"/>
      <c r="J737" s="22"/>
      <c r="K737" s="22"/>
      <c r="L737" s="22"/>
      <c r="M737" s="22"/>
      <c r="N737" s="22"/>
    </row>
    <row r="738" spans="1:16">
      <c r="A738" s="165"/>
      <c r="B738" s="66"/>
      <c r="C738" s="66"/>
      <c r="D738" s="66"/>
      <c r="E738" s="66"/>
      <c r="F738" s="73" t="s">
        <v>178</v>
      </c>
      <c r="G738" s="66"/>
      <c r="H738" s="22"/>
      <c r="I738" s="22"/>
      <c r="J738" s="22"/>
      <c r="K738" s="22"/>
      <c r="L738" s="22"/>
      <c r="M738" s="22"/>
      <c r="N738" s="22"/>
    </row>
    <row r="739" spans="1:16">
      <c r="A739" s="165"/>
      <c r="B739" s="66">
        <v>3060</v>
      </c>
      <c r="C739" s="66" t="s">
        <v>15</v>
      </c>
      <c r="D739" s="66">
        <v>6</v>
      </c>
      <c r="E739" s="66">
        <v>0</v>
      </c>
      <c r="F739" s="73" t="s">
        <v>358</v>
      </c>
      <c r="G739" s="66"/>
      <c r="H739" s="22">
        <f t="shared" ref="H739:N739" si="118">H741</f>
        <v>1200</v>
      </c>
      <c r="I739" s="22">
        <f t="shared" si="118"/>
        <v>1200</v>
      </c>
      <c r="J739" s="22">
        <f t="shared" si="118"/>
        <v>0</v>
      </c>
      <c r="K739" s="22">
        <f t="shared" si="118"/>
        <v>285.71428571428572</v>
      </c>
      <c r="L739" s="22">
        <f t="shared" si="118"/>
        <v>576.19047619047615</v>
      </c>
      <c r="M739" s="22">
        <f t="shared" si="118"/>
        <v>890.47619047619048</v>
      </c>
      <c r="N739" s="22">
        <f t="shared" si="118"/>
        <v>1200</v>
      </c>
    </row>
    <row r="740" spans="1:16" ht="57.75" customHeight="1">
      <c r="A740" s="165"/>
      <c r="B740" s="66"/>
      <c r="C740" s="66"/>
      <c r="D740" s="66"/>
      <c r="E740" s="66"/>
      <c r="F740" s="73" t="s">
        <v>156</v>
      </c>
      <c r="G740" s="66"/>
      <c r="H740" s="22"/>
      <c r="I740" s="22"/>
      <c r="J740" s="22"/>
      <c r="K740" s="22"/>
      <c r="L740" s="22"/>
      <c r="M740" s="22"/>
      <c r="N740" s="22"/>
    </row>
    <row r="741" spans="1:16">
      <c r="A741" s="165"/>
      <c r="B741" s="66">
        <v>3061</v>
      </c>
      <c r="C741" s="66" t="s">
        <v>15</v>
      </c>
      <c r="D741" s="66">
        <v>6</v>
      </c>
      <c r="E741" s="66">
        <v>1</v>
      </c>
      <c r="F741" s="73" t="s">
        <v>358</v>
      </c>
      <c r="G741" s="66"/>
      <c r="H741" s="22">
        <f>+H743+H744+H745</f>
        <v>1200</v>
      </c>
      <c r="I741" s="22">
        <f t="shared" ref="I741:N741" si="119">+I743+I744+I745</f>
        <v>1200</v>
      </c>
      <c r="J741" s="22">
        <f t="shared" si="119"/>
        <v>0</v>
      </c>
      <c r="K741" s="22">
        <f t="shared" si="119"/>
        <v>285.71428571428572</v>
      </c>
      <c r="L741" s="22">
        <f t="shared" si="119"/>
        <v>576.19047619047615</v>
      </c>
      <c r="M741" s="22">
        <f t="shared" si="119"/>
        <v>890.47619047619048</v>
      </c>
      <c r="N741" s="22">
        <f t="shared" si="119"/>
        <v>1200</v>
      </c>
    </row>
    <row r="742" spans="1:16" ht="40.5">
      <c r="A742" s="165"/>
      <c r="B742" s="66"/>
      <c r="C742" s="66"/>
      <c r="D742" s="66"/>
      <c r="E742" s="66"/>
      <c r="F742" s="73" t="s">
        <v>177</v>
      </c>
      <c r="G742" s="66"/>
      <c r="H742" s="22"/>
      <c r="I742" s="22"/>
      <c r="J742" s="22"/>
      <c r="K742" s="22"/>
      <c r="L742" s="22"/>
      <c r="M742" s="22"/>
      <c r="N742" s="22"/>
    </row>
    <row r="743" spans="1:16">
      <c r="A743" s="165"/>
      <c r="B743" s="66"/>
      <c r="C743" s="66"/>
      <c r="D743" s="66"/>
      <c r="E743" s="66"/>
      <c r="F743" s="73" t="s">
        <v>577</v>
      </c>
      <c r="G743" s="66">
        <v>4728</v>
      </c>
      <c r="H743" s="22">
        <f>SUM(I743:J743)</f>
        <v>1200</v>
      </c>
      <c r="I743" s="22">
        <v>1200</v>
      </c>
      <c r="J743" s="22"/>
      <c r="K743" s="156">
        <f t="shared" ref="K743" si="120">+H743/252*60</f>
        <v>285.71428571428572</v>
      </c>
      <c r="L743" s="156">
        <f t="shared" ref="L743" si="121">+H743/252*121</f>
        <v>576.19047619047615</v>
      </c>
      <c r="M743" s="156">
        <f t="shared" ref="M743" si="122">+H743/252*187</f>
        <v>890.47619047619048</v>
      </c>
      <c r="N743" s="156">
        <f t="shared" ref="N743" si="123">+H743</f>
        <v>1200</v>
      </c>
    </row>
    <row r="744" spans="1:16" ht="37.5" customHeight="1">
      <c r="A744" s="165"/>
      <c r="B744" s="66"/>
      <c r="C744" s="66"/>
      <c r="D744" s="66"/>
      <c r="E744" s="66"/>
      <c r="F744" s="10" t="s">
        <v>496</v>
      </c>
      <c r="G744" s="66" t="s">
        <v>90</v>
      </c>
      <c r="H744" s="22">
        <v>0</v>
      </c>
      <c r="I744" s="22"/>
      <c r="J744" s="22"/>
      <c r="K744" s="86"/>
      <c r="L744" s="86"/>
      <c r="M744" s="86"/>
      <c r="N744" s="86"/>
    </row>
    <row r="745" spans="1:16" ht="27">
      <c r="A745" s="165"/>
      <c r="B745" s="66"/>
      <c r="C745" s="66"/>
      <c r="D745" s="66"/>
      <c r="E745" s="66"/>
      <c r="F745" s="73" t="s">
        <v>597</v>
      </c>
      <c r="G745" s="66" t="s">
        <v>80</v>
      </c>
      <c r="H745" s="22">
        <v>0</v>
      </c>
      <c r="I745" s="22"/>
      <c r="J745" s="22"/>
      <c r="K745" s="86"/>
      <c r="L745" s="86"/>
      <c r="M745" s="86"/>
      <c r="N745" s="86"/>
    </row>
    <row r="746" spans="1:16" ht="36" customHeight="1">
      <c r="A746" s="165"/>
      <c r="B746" s="66">
        <v>3070</v>
      </c>
      <c r="C746" s="66" t="s">
        <v>15</v>
      </c>
      <c r="D746" s="66">
        <v>7</v>
      </c>
      <c r="E746" s="66">
        <v>0</v>
      </c>
      <c r="F746" s="73" t="s">
        <v>359</v>
      </c>
      <c r="G746" s="66"/>
      <c r="H746" s="22">
        <f t="shared" ref="H746:N746" si="124">H748+H749</f>
        <v>26500</v>
      </c>
      <c r="I746" s="22">
        <f t="shared" si="124"/>
        <v>26500</v>
      </c>
      <c r="J746" s="22">
        <f t="shared" si="124"/>
        <v>0</v>
      </c>
      <c r="K746" s="22">
        <f t="shared" si="124"/>
        <v>1309.5238095238096</v>
      </c>
      <c r="L746" s="22">
        <f t="shared" si="124"/>
        <v>6803.5714285714275</v>
      </c>
      <c r="M746" s="22">
        <f t="shared" si="124"/>
        <v>20696.428571428569</v>
      </c>
      <c r="N746" s="22">
        <f t="shared" si="124"/>
        <v>26500</v>
      </c>
    </row>
    <row r="747" spans="1:16" ht="55.5" customHeight="1">
      <c r="A747" s="165"/>
      <c r="B747" s="66"/>
      <c r="C747" s="66"/>
      <c r="D747" s="66"/>
      <c r="E747" s="66"/>
      <c r="F747" s="73" t="s">
        <v>156</v>
      </c>
      <c r="G747" s="66"/>
      <c r="H747" s="22"/>
      <c r="I747" s="22"/>
      <c r="J747" s="22"/>
      <c r="K747" s="22"/>
      <c r="L747" s="22"/>
      <c r="M747" s="22"/>
      <c r="N747" s="22"/>
    </row>
    <row r="748" spans="1:16" ht="27">
      <c r="A748" s="165"/>
      <c r="B748" s="66">
        <v>3071</v>
      </c>
      <c r="C748" s="66" t="s">
        <v>15</v>
      </c>
      <c r="D748" s="66">
        <v>7</v>
      </c>
      <c r="E748" s="66">
        <v>1</v>
      </c>
      <c r="F748" s="73" t="s">
        <v>576</v>
      </c>
      <c r="G748" s="66"/>
      <c r="H748" s="22">
        <f t="shared" ref="H748:N748" si="125">H750+H751+H752+H753</f>
        <v>26500</v>
      </c>
      <c r="I748" s="22">
        <f t="shared" si="125"/>
        <v>26500</v>
      </c>
      <c r="J748" s="22">
        <f t="shared" si="125"/>
        <v>0</v>
      </c>
      <c r="K748" s="22">
        <f t="shared" si="125"/>
        <v>1309.5238095238096</v>
      </c>
      <c r="L748" s="22">
        <f t="shared" si="125"/>
        <v>6803.5714285714275</v>
      </c>
      <c r="M748" s="22">
        <f t="shared" si="125"/>
        <v>20696.428571428569</v>
      </c>
      <c r="N748" s="22">
        <f t="shared" si="125"/>
        <v>26500</v>
      </c>
    </row>
    <row r="749" spans="1:16" ht="40.5">
      <c r="A749" s="165"/>
      <c r="B749" s="66"/>
      <c r="C749" s="66"/>
      <c r="D749" s="66"/>
      <c r="E749" s="66"/>
      <c r="F749" s="73" t="s">
        <v>177</v>
      </c>
      <c r="G749" s="66"/>
      <c r="H749" s="22"/>
      <c r="I749" s="22"/>
      <c r="J749" s="22"/>
      <c r="K749" s="22"/>
      <c r="L749" s="22"/>
      <c r="M749" s="22"/>
      <c r="N749" s="22"/>
    </row>
    <row r="750" spans="1:16">
      <c r="A750" s="165"/>
      <c r="B750" s="66"/>
      <c r="C750" s="66"/>
      <c r="D750" s="66"/>
      <c r="E750" s="66"/>
      <c r="F750" s="73" t="s">
        <v>166</v>
      </c>
      <c r="G750" s="66">
        <v>4239</v>
      </c>
      <c r="H750" s="22">
        <v>0</v>
      </c>
      <c r="I750" s="22"/>
      <c r="J750" s="22"/>
      <c r="K750" s="86"/>
      <c r="L750" s="86"/>
      <c r="M750" s="86"/>
      <c r="N750" s="86"/>
    </row>
    <row r="751" spans="1:16">
      <c r="A751" s="165"/>
      <c r="B751" s="66"/>
      <c r="C751" s="66"/>
      <c r="D751" s="66"/>
      <c r="E751" s="66"/>
      <c r="F751" s="74" t="s">
        <v>413</v>
      </c>
      <c r="G751" s="66">
        <v>4261</v>
      </c>
      <c r="H751" s="22">
        <f>SUM(I751:J751)</f>
        <v>4000</v>
      </c>
      <c r="I751" s="22">
        <v>4000</v>
      </c>
      <c r="J751" s="22"/>
      <c r="K751" s="156">
        <f t="shared" ref="K751:K753" si="126">+H751/252*60</f>
        <v>952.38095238095241</v>
      </c>
      <c r="L751" s="156">
        <v>4000</v>
      </c>
      <c r="M751" s="156">
        <v>4000</v>
      </c>
      <c r="N751" s="156">
        <f t="shared" ref="N751:N753" si="127">+H751</f>
        <v>4000</v>
      </c>
      <c r="P751" s="165"/>
    </row>
    <row r="752" spans="1:16">
      <c r="A752" s="165"/>
      <c r="B752" s="66"/>
      <c r="C752" s="66"/>
      <c r="D752" s="66"/>
      <c r="E752" s="66"/>
      <c r="F752" s="73" t="s">
        <v>575</v>
      </c>
      <c r="G752" s="66">
        <v>4729</v>
      </c>
      <c r="H752" s="22">
        <f>SUM(I752:J752)</f>
        <v>21000</v>
      </c>
      <c r="I752" s="22">
        <v>21000</v>
      </c>
      <c r="J752" s="22"/>
      <c r="K752" s="156">
        <v>0</v>
      </c>
      <c r="L752" s="156">
        <v>2083.3333333333321</v>
      </c>
      <c r="M752" s="156">
        <f t="shared" ref="M752:M753" si="128">+H752/252*187</f>
        <v>15583.333333333332</v>
      </c>
      <c r="N752" s="156">
        <f t="shared" si="127"/>
        <v>21000</v>
      </c>
      <c r="P752" s="165"/>
    </row>
    <row r="753" spans="1:16" ht="27">
      <c r="A753" s="165"/>
      <c r="B753" s="66"/>
      <c r="C753" s="66"/>
      <c r="D753" s="66"/>
      <c r="E753" s="66"/>
      <c r="F753" s="73" t="s">
        <v>597</v>
      </c>
      <c r="G753" s="66" t="s">
        <v>80</v>
      </c>
      <c r="H753" s="22">
        <f>SUM(I753:J753)</f>
        <v>1500</v>
      </c>
      <c r="I753" s="22">
        <v>1500</v>
      </c>
      <c r="J753" s="22"/>
      <c r="K753" s="156">
        <f t="shared" si="126"/>
        <v>357.14285714285717</v>
      </c>
      <c r="L753" s="156">
        <f t="shared" ref="L753" si="129">+H753/252*121</f>
        <v>720.2380952380953</v>
      </c>
      <c r="M753" s="156">
        <f t="shared" si="128"/>
        <v>1113.0952380952381</v>
      </c>
      <c r="N753" s="156">
        <f t="shared" si="127"/>
        <v>1500</v>
      </c>
      <c r="P753" s="165"/>
    </row>
    <row r="754" spans="1:16" ht="54.75" customHeight="1">
      <c r="A754" s="165"/>
      <c r="B754" s="66"/>
      <c r="C754" s="66"/>
      <c r="D754" s="66"/>
      <c r="E754" s="66"/>
      <c r="F754" s="73"/>
      <c r="G754" s="66"/>
      <c r="H754" s="22"/>
      <c r="I754" s="22"/>
      <c r="J754" s="22"/>
      <c r="K754" s="22"/>
      <c r="L754" s="22"/>
      <c r="M754" s="22"/>
      <c r="N754" s="22"/>
    </row>
    <row r="755" spans="1:16">
      <c r="A755" s="165"/>
      <c r="B755" s="66">
        <v>3080</v>
      </c>
      <c r="C755" s="66" t="s">
        <v>15</v>
      </c>
      <c r="D755" s="66">
        <v>8</v>
      </c>
      <c r="E755" s="66">
        <v>0</v>
      </c>
      <c r="F755" s="73" t="s">
        <v>571</v>
      </c>
      <c r="G755" s="66"/>
      <c r="H755" s="22"/>
      <c r="I755" s="22"/>
      <c r="J755" s="22"/>
      <c r="K755" s="22"/>
      <c r="L755" s="22"/>
      <c r="M755" s="22"/>
      <c r="N755" s="22"/>
    </row>
    <row r="756" spans="1:16" ht="27">
      <c r="A756" s="165"/>
      <c r="B756" s="66"/>
      <c r="C756" s="66"/>
      <c r="D756" s="66"/>
      <c r="E756" s="66"/>
      <c r="F756" s="73" t="s">
        <v>360</v>
      </c>
      <c r="G756" s="66"/>
      <c r="H756" s="22"/>
      <c r="I756" s="22"/>
      <c r="J756" s="22"/>
      <c r="K756" s="22"/>
      <c r="L756" s="22"/>
      <c r="M756" s="22"/>
      <c r="N756" s="22"/>
    </row>
    <row r="757" spans="1:16" ht="35.25" customHeight="1">
      <c r="A757" s="165"/>
      <c r="B757" s="66">
        <v>3081</v>
      </c>
      <c r="C757" s="66" t="s">
        <v>15</v>
      </c>
      <c r="D757" s="66">
        <v>8</v>
      </c>
      <c r="E757" s="66">
        <v>1</v>
      </c>
      <c r="F757" s="73" t="s">
        <v>156</v>
      </c>
      <c r="G757" s="66"/>
      <c r="H757" s="22"/>
      <c r="I757" s="22"/>
      <c r="J757" s="22"/>
      <c r="K757" s="22"/>
      <c r="L757" s="22"/>
      <c r="M757" s="22"/>
      <c r="N757" s="22"/>
    </row>
    <row r="758" spans="1:16" ht="27">
      <c r="A758" s="165"/>
      <c r="B758" s="66"/>
      <c r="C758" s="66"/>
      <c r="D758" s="66"/>
      <c r="E758" s="66"/>
      <c r="F758" s="73" t="s">
        <v>360</v>
      </c>
      <c r="G758" s="66"/>
      <c r="H758" s="22"/>
      <c r="I758" s="22"/>
      <c r="J758" s="22"/>
      <c r="K758" s="22"/>
      <c r="L758" s="22"/>
      <c r="M758" s="22"/>
      <c r="N758" s="22"/>
    </row>
    <row r="759" spans="1:16" ht="34.5" customHeight="1">
      <c r="A759" s="165"/>
      <c r="B759" s="66">
        <v>3090</v>
      </c>
      <c r="C759" s="66" t="s">
        <v>15</v>
      </c>
      <c r="D759" s="66">
        <v>9</v>
      </c>
      <c r="E759" s="66">
        <v>0</v>
      </c>
      <c r="F759" s="73" t="s">
        <v>361</v>
      </c>
      <c r="G759" s="66"/>
      <c r="H759" s="22">
        <f>+H761</f>
        <v>0</v>
      </c>
      <c r="I759" s="22">
        <f t="shared" ref="I759:N759" si="130">+I761</f>
        <v>0</v>
      </c>
      <c r="J759" s="22">
        <f t="shared" si="130"/>
        <v>0</v>
      </c>
      <c r="K759" s="22">
        <f t="shared" si="130"/>
        <v>0</v>
      </c>
      <c r="L759" s="22">
        <f t="shared" si="130"/>
        <v>0</v>
      </c>
      <c r="M759" s="22">
        <f t="shared" si="130"/>
        <v>0</v>
      </c>
      <c r="N759" s="22">
        <f t="shared" si="130"/>
        <v>0</v>
      </c>
    </row>
    <row r="760" spans="1:16" ht="57" customHeight="1">
      <c r="A760" s="165"/>
      <c r="B760" s="66"/>
      <c r="C760" s="66"/>
      <c r="D760" s="66"/>
      <c r="E760" s="66"/>
      <c r="F760" s="73" t="s">
        <v>156</v>
      </c>
      <c r="G760" s="66"/>
      <c r="H760" s="22"/>
      <c r="I760" s="22"/>
      <c r="J760" s="22"/>
      <c r="K760" s="22"/>
      <c r="L760" s="22"/>
      <c r="M760" s="22"/>
      <c r="N760" s="22"/>
    </row>
    <row r="761" spans="1:16" ht="27">
      <c r="A761" s="165"/>
      <c r="B761" s="66">
        <v>3091</v>
      </c>
      <c r="C761" s="66" t="s">
        <v>15</v>
      </c>
      <c r="D761" s="66">
        <v>9</v>
      </c>
      <c r="E761" s="66">
        <v>1</v>
      </c>
      <c r="F761" s="73" t="s">
        <v>361</v>
      </c>
      <c r="G761" s="66"/>
      <c r="H761" s="22">
        <f>SUM(H763:H770)</f>
        <v>0</v>
      </c>
      <c r="I761" s="22">
        <f t="shared" ref="I761:N761" si="131">SUM(I763:I770)</f>
        <v>0</v>
      </c>
      <c r="J761" s="22">
        <f t="shared" si="131"/>
        <v>0</v>
      </c>
      <c r="K761" s="22">
        <f t="shared" si="131"/>
        <v>0</v>
      </c>
      <c r="L761" s="22">
        <f t="shared" si="131"/>
        <v>0</v>
      </c>
      <c r="M761" s="22">
        <f t="shared" si="131"/>
        <v>0</v>
      </c>
      <c r="N761" s="22">
        <f t="shared" si="131"/>
        <v>0</v>
      </c>
    </row>
    <row r="762" spans="1:16" ht="40.5">
      <c r="A762" s="165"/>
      <c r="B762" s="66"/>
      <c r="C762" s="66"/>
      <c r="D762" s="66"/>
      <c r="E762" s="66"/>
      <c r="F762" s="73" t="s">
        <v>177</v>
      </c>
      <c r="G762" s="66"/>
      <c r="H762" s="22"/>
      <c r="I762" s="22"/>
      <c r="J762" s="22"/>
      <c r="K762" s="22"/>
      <c r="L762" s="22"/>
      <c r="M762" s="22"/>
      <c r="N762" s="22"/>
    </row>
    <row r="763" spans="1:16">
      <c r="A763" s="165"/>
      <c r="B763" s="66"/>
      <c r="C763" s="66"/>
      <c r="D763" s="66"/>
      <c r="E763" s="66"/>
      <c r="F763" s="73" t="s">
        <v>570</v>
      </c>
      <c r="G763" s="66">
        <v>4111</v>
      </c>
      <c r="H763" s="22">
        <v>0</v>
      </c>
      <c r="I763" s="22">
        <f>+H763</f>
        <v>0</v>
      </c>
      <c r="J763" s="22"/>
      <c r="K763" s="86">
        <f>+I763/4</f>
        <v>0</v>
      </c>
      <c r="L763" s="86">
        <f>+I763/4*2</f>
        <v>0</v>
      </c>
      <c r="M763" s="86">
        <f>+I763/4*3</f>
        <v>0</v>
      </c>
      <c r="N763" s="86">
        <f>+H763</f>
        <v>0</v>
      </c>
    </row>
    <row r="764" spans="1:16">
      <c r="A764" s="165"/>
      <c r="B764" s="66"/>
      <c r="C764" s="66"/>
      <c r="D764" s="66"/>
      <c r="E764" s="66"/>
      <c r="F764" s="73" t="s">
        <v>571</v>
      </c>
      <c r="G764" s="66">
        <v>4212</v>
      </c>
      <c r="H764" s="22">
        <v>0</v>
      </c>
      <c r="I764" s="22">
        <f t="shared" ref="I764:I770" si="132">+H764</f>
        <v>0</v>
      </c>
      <c r="J764" s="22"/>
      <c r="K764" s="86">
        <f t="shared" ref="K764:K770" si="133">+H764/4</f>
        <v>0</v>
      </c>
      <c r="L764" s="86">
        <f t="shared" ref="L764:L770" si="134">+H764/4*2</f>
        <v>0</v>
      </c>
      <c r="M764" s="86">
        <f t="shared" ref="M764:M770" si="135">+H764/4*3</f>
        <v>0</v>
      </c>
      <c r="N764" s="86">
        <f t="shared" ref="N764:N770" si="136">+H764</f>
        <v>0</v>
      </c>
    </row>
    <row r="765" spans="1:16">
      <c r="A765" s="165"/>
      <c r="B765" s="66"/>
      <c r="C765" s="66"/>
      <c r="D765" s="66"/>
      <c r="E765" s="66"/>
      <c r="F765" s="73" t="s">
        <v>572</v>
      </c>
      <c r="G765" s="66">
        <v>4214</v>
      </c>
      <c r="H765" s="22">
        <v>0</v>
      </c>
      <c r="I765" s="22">
        <f t="shared" si="132"/>
        <v>0</v>
      </c>
      <c r="J765" s="22"/>
      <c r="K765" s="86">
        <f t="shared" si="133"/>
        <v>0</v>
      </c>
      <c r="L765" s="86">
        <f t="shared" si="134"/>
        <v>0</v>
      </c>
      <c r="M765" s="86">
        <f t="shared" si="135"/>
        <v>0</v>
      </c>
      <c r="N765" s="86">
        <f t="shared" si="136"/>
        <v>0</v>
      </c>
    </row>
    <row r="766" spans="1:16">
      <c r="A766" s="165"/>
      <c r="B766" s="66"/>
      <c r="C766" s="66"/>
      <c r="D766" s="66"/>
      <c r="E766" s="66"/>
      <c r="F766" s="73" t="s">
        <v>749</v>
      </c>
      <c r="G766" s="66" t="s">
        <v>50</v>
      </c>
      <c r="H766" s="22">
        <v>0</v>
      </c>
      <c r="I766" s="22">
        <f t="shared" si="132"/>
        <v>0</v>
      </c>
      <c r="J766" s="22"/>
      <c r="K766" s="86">
        <f t="shared" si="133"/>
        <v>0</v>
      </c>
      <c r="L766" s="86">
        <f t="shared" si="134"/>
        <v>0</v>
      </c>
      <c r="M766" s="86">
        <f t="shared" si="135"/>
        <v>0</v>
      </c>
      <c r="N766" s="86">
        <f t="shared" si="136"/>
        <v>0</v>
      </c>
    </row>
    <row r="767" spans="1:16">
      <c r="A767" s="165"/>
      <c r="B767" s="66"/>
      <c r="C767" s="66"/>
      <c r="D767" s="66"/>
      <c r="E767" s="66"/>
      <c r="F767" s="73" t="s">
        <v>573</v>
      </c>
      <c r="G767" s="66">
        <v>4216</v>
      </c>
      <c r="H767" s="22">
        <v>0</v>
      </c>
      <c r="I767" s="22">
        <f t="shared" si="132"/>
        <v>0</v>
      </c>
      <c r="J767" s="22"/>
      <c r="K767" s="86">
        <f t="shared" si="133"/>
        <v>0</v>
      </c>
      <c r="L767" s="86">
        <f t="shared" si="134"/>
        <v>0</v>
      </c>
      <c r="M767" s="86">
        <f t="shared" si="135"/>
        <v>0</v>
      </c>
      <c r="N767" s="86">
        <f t="shared" si="136"/>
        <v>0</v>
      </c>
    </row>
    <row r="768" spans="1:16">
      <c r="A768" s="165"/>
      <c r="B768" s="66"/>
      <c r="C768" s="66"/>
      <c r="D768" s="66"/>
      <c r="E768" s="66"/>
      <c r="F768" s="74" t="s">
        <v>413</v>
      </c>
      <c r="G768" s="66">
        <v>4261</v>
      </c>
      <c r="H768" s="22">
        <v>0</v>
      </c>
      <c r="I768" s="22">
        <f t="shared" si="132"/>
        <v>0</v>
      </c>
      <c r="J768" s="22"/>
      <c r="K768" s="86">
        <f t="shared" si="133"/>
        <v>0</v>
      </c>
      <c r="L768" s="86">
        <f t="shared" si="134"/>
        <v>0</v>
      </c>
      <c r="M768" s="86">
        <f t="shared" si="135"/>
        <v>0</v>
      </c>
      <c r="N768" s="86">
        <f t="shared" si="136"/>
        <v>0</v>
      </c>
    </row>
    <row r="769" spans="1:14" ht="55.5" customHeight="1">
      <c r="A769" s="165"/>
      <c r="B769" s="66"/>
      <c r="C769" s="66"/>
      <c r="D769" s="66"/>
      <c r="E769" s="66"/>
      <c r="F769" s="73" t="s">
        <v>557</v>
      </c>
      <c r="G769" s="66" t="s">
        <v>748</v>
      </c>
      <c r="H769" s="22">
        <v>0</v>
      </c>
      <c r="I769" s="22">
        <f t="shared" si="132"/>
        <v>0</v>
      </c>
      <c r="J769" s="22"/>
      <c r="K769" s="86">
        <f t="shared" si="133"/>
        <v>0</v>
      </c>
      <c r="L769" s="86">
        <f t="shared" si="134"/>
        <v>0</v>
      </c>
      <c r="M769" s="86">
        <f t="shared" si="135"/>
        <v>0</v>
      </c>
      <c r="N769" s="86">
        <f t="shared" si="136"/>
        <v>0</v>
      </c>
    </row>
    <row r="770" spans="1:14" ht="54" customHeight="1">
      <c r="A770" s="165"/>
      <c r="B770" s="66"/>
      <c r="C770" s="66"/>
      <c r="D770" s="66"/>
      <c r="E770" s="66"/>
      <c r="F770" s="73" t="s">
        <v>574</v>
      </c>
      <c r="G770" s="66">
        <v>4264</v>
      </c>
      <c r="H770" s="22">
        <v>0</v>
      </c>
      <c r="I770" s="22">
        <f t="shared" si="132"/>
        <v>0</v>
      </c>
      <c r="J770" s="22"/>
      <c r="K770" s="86">
        <f t="shared" si="133"/>
        <v>0</v>
      </c>
      <c r="L770" s="86">
        <f t="shared" si="134"/>
        <v>0</v>
      </c>
      <c r="M770" s="86">
        <f t="shared" si="135"/>
        <v>0</v>
      </c>
      <c r="N770" s="86">
        <f t="shared" si="136"/>
        <v>0</v>
      </c>
    </row>
    <row r="771" spans="1:14" ht="40.5">
      <c r="A771" s="165"/>
      <c r="B771" s="66">
        <v>3092</v>
      </c>
      <c r="C771" s="66" t="s">
        <v>15</v>
      </c>
      <c r="D771" s="66">
        <v>9</v>
      </c>
      <c r="E771" s="66">
        <v>2</v>
      </c>
      <c r="F771" s="73" t="s">
        <v>362</v>
      </c>
      <c r="G771" s="66"/>
      <c r="H771" s="22"/>
      <c r="I771" s="22"/>
      <c r="J771" s="22"/>
      <c r="K771" s="22"/>
      <c r="L771" s="22"/>
      <c r="M771" s="22"/>
      <c r="N771" s="22"/>
    </row>
    <row r="772" spans="1:14" ht="40.5">
      <c r="A772" s="165"/>
      <c r="B772" s="66"/>
      <c r="C772" s="66"/>
      <c r="D772" s="66"/>
      <c r="E772" s="66"/>
      <c r="F772" s="73" t="s">
        <v>177</v>
      </c>
      <c r="G772" s="66"/>
      <c r="H772" s="22"/>
      <c r="I772" s="22"/>
      <c r="J772" s="22"/>
      <c r="K772" s="22"/>
      <c r="L772" s="22"/>
      <c r="M772" s="22"/>
      <c r="N772" s="22"/>
    </row>
    <row r="773" spans="1:14">
      <c r="A773" s="165"/>
      <c r="B773" s="66"/>
      <c r="C773" s="66"/>
      <c r="D773" s="66"/>
      <c r="E773" s="66"/>
      <c r="F773" s="229"/>
      <c r="G773" s="66"/>
      <c r="H773" s="22"/>
      <c r="I773" s="22"/>
      <c r="J773" s="22"/>
      <c r="K773" s="22"/>
      <c r="L773" s="22"/>
      <c r="M773" s="22"/>
      <c r="N773" s="22"/>
    </row>
    <row r="774" spans="1:14" ht="46.5" customHeight="1">
      <c r="A774" s="165"/>
      <c r="B774" s="66"/>
      <c r="C774" s="66"/>
      <c r="D774" s="66"/>
      <c r="E774" s="66"/>
      <c r="F774" s="229"/>
      <c r="G774" s="66"/>
      <c r="H774" s="22"/>
      <c r="I774" s="22"/>
      <c r="J774" s="22"/>
      <c r="K774" s="22"/>
      <c r="L774" s="22"/>
      <c r="M774" s="22"/>
      <c r="N774" s="22"/>
    </row>
    <row r="775" spans="1:14">
      <c r="A775" s="165"/>
      <c r="B775" s="66"/>
      <c r="C775" s="66"/>
      <c r="D775" s="66"/>
      <c r="E775" s="66"/>
      <c r="F775" s="73" t="s">
        <v>178</v>
      </c>
      <c r="G775" s="66"/>
      <c r="H775" s="22"/>
      <c r="I775" s="22"/>
      <c r="J775" s="22"/>
      <c r="K775" s="22"/>
      <c r="L775" s="22"/>
      <c r="M775" s="22"/>
      <c r="N775" s="22"/>
    </row>
    <row r="776" spans="1:14" ht="27">
      <c r="A776" s="165"/>
      <c r="B776" s="66">
        <v>3100</v>
      </c>
      <c r="C776" s="66" t="s">
        <v>16</v>
      </c>
      <c r="D776" s="66">
        <v>0</v>
      </c>
      <c r="E776" s="66">
        <v>0</v>
      </c>
      <c r="F776" s="76" t="s">
        <v>363</v>
      </c>
      <c r="G776" s="66"/>
      <c r="H776" s="22"/>
      <c r="I776" s="22">
        <f t="shared" ref="I776:N776" si="137">+I778</f>
        <v>925983</v>
      </c>
      <c r="J776" s="22">
        <f t="shared" si="137"/>
        <v>925983</v>
      </c>
      <c r="K776" s="22">
        <f t="shared" si="137"/>
        <v>345364</v>
      </c>
      <c r="L776" s="22">
        <f t="shared" si="137"/>
        <v>532603</v>
      </c>
      <c r="M776" s="22">
        <f t="shared" si="137"/>
        <v>726707</v>
      </c>
      <c r="N776" s="22">
        <f t="shared" si="137"/>
        <v>925983</v>
      </c>
    </row>
    <row r="777" spans="1:14">
      <c r="A777" s="165"/>
      <c r="B777" s="66"/>
      <c r="C777" s="66"/>
      <c r="D777" s="66"/>
      <c r="E777" s="66"/>
      <c r="F777" s="73" t="s">
        <v>154</v>
      </c>
      <c r="G777" s="66"/>
      <c r="H777" s="22"/>
      <c r="I777" s="22"/>
      <c r="J777" s="22"/>
      <c r="K777" s="22"/>
      <c r="L777" s="22"/>
      <c r="M777" s="22"/>
      <c r="N777" s="22"/>
    </row>
    <row r="778" spans="1:14" ht="55.5" customHeight="1">
      <c r="A778" s="165"/>
      <c r="B778" s="66">
        <v>3112</v>
      </c>
      <c r="C778" s="66" t="s">
        <v>16</v>
      </c>
      <c r="D778" s="66">
        <v>1</v>
      </c>
      <c r="E778" s="66">
        <v>2</v>
      </c>
      <c r="F778" s="76" t="s">
        <v>364</v>
      </c>
      <c r="G778" s="66"/>
      <c r="H778" s="22"/>
      <c r="I778" s="22">
        <f t="shared" ref="I778:N778" si="138">+I781</f>
        <v>925983</v>
      </c>
      <c r="J778" s="22">
        <f t="shared" si="138"/>
        <v>925983</v>
      </c>
      <c r="K778" s="22">
        <f t="shared" si="138"/>
        <v>345364</v>
      </c>
      <c r="L778" s="22">
        <f t="shared" si="138"/>
        <v>532603</v>
      </c>
      <c r="M778" s="22">
        <f t="shared" si="138"/>
        <v>726707</v>
      </c>
      <c r="N778" s="22">
        <f t="shared" si="138"/>
        <v>925983</v>
      </c>
    </row>
    <row r="779" spans="1:14">
      <c r="A779" s="165"/>
      <c r="B779" s="66"/>
      <c r="C779" s="66"/>
      <c r="D779" s="66"/>
      <c r="E779" s="66"/>
      <c r="F779" s="73" t="s">
        <v>156</v>
      </c>
      <c r="G779" s="66"/>
      <c r="H779" s="22"/>
      <c r="I779" s="22"/>
      <c r="J779" s="22"/>
      <c r="K779" s="22"/>
      <c r="L779" s="22"/>
      <c r="M779" s="22"/>
      <c r="N779" s="22"/>
    </row>
    <row r="780" spans="1:14" ht="40.5">
      <c r="A780" s="165"/>
      <c r="B780" s="66"/>
      <c r="C780" s="66"/>
      <c r="D780" s="66"/>
      <c r="E780" s="66"/>
      <c r="F780" s="73" t="s">
        <v>177</v>
      </c>
      <c r="G780" s="66"/>
      <c r="H780" s="22"/>
      <c r="I780" s="22"/>
      <c r="J780" s="22"/>
      <c r="K780" s="22"/>
      <c r="L780" s="22"/>
      <c r="M780" s="22"/>
      <c r="N780" s="22"/>
    </row>
    <row r="781" spans="1:14">
      <c r="A781" s="165"/>
      <c r="B781" s="66"/>
      <c r="C781" s="66"/>
      <c r="D781" s="66"/>
      <c r="E781" s="66"/>
      <c r="F781" s="73" t="s">
        <v>569</v>
      </c>
      <c r="G781" s="66">
        <v>4891</v>
      </c>
      <c r="H781" s="22"/>
      <c r="I781" s="22">
        <v>925983</v>
      </c>
      <c r="J781" s="22">
        <f>+I781</f>
        <v>925983</v>
      </c>
      <c r="K781" s="22">
        <v>345364</v>
      </c>
      <c r="L781" s="22">
        <v>532603</v>
      </c>
      <c r="M781" s="22">
        <v>726707</v>
      </c>
      <c r="N781" s="22">
        <f>+J781</f>
        <v>925983</v>
      </c>
    </row>
    <row r="782" spans="1:14">
      <c r="J782" s="165"/>
    </row>
    <row r="784" spans="1:14">
      <c r="H784" s="231"/>
      <c r="J784" s="165"/>
      <c r="K784" s="165"/>
      <c r="L784" s="165"/>
      <c r="M784" s="165"/>
    </row>
    <row r="785" spans="8:14">
      <c r="J785" s="165"/>
      <c r="K785" s="165"/>
      <c r="L785" s="165"/>
      <c r="M785" s="165"/>
      <c r="N785" s="165"/>
    </row>
    <row r="786" spans="8:14">
      <c r="J786" s="165"/>
      <c r="K786" s="165"/>
      <c r="L786" s="165"/>
      <c r="M786" s="165"/>
    </row>
    <row r="787" spans="8:14">
      <c r="J787" s="165"/>
      <c r="K787" s="165"/>
      <c r="L787" s="165"/>
      <c r="M787" s="165"/>
    </row>
    <row r="788" spans="8:14">
      <c r="H788" s="165"/>
      <c r="I788" s="165"/>
      <c r="J788" s="165"/>
      <c r="K788" s="165"/>
      <c r="L788" s="165"/>
      <c r="M788" s="165"/>
      <c r="N788" s="165"/>
    </row>
    <row r="789" spans="8:14">
      <c r="K789" s="165"/>
      <c r="L789" s="165"/>
      <c r="M789" s="165"/>
    </row>
  </sheetData>
  <protectedRanges>
    <protectedRange sqref="K763:N763 N764:N770 N81:N87 K563:N563 K636:N638 K744:N745 K80:N80 K160:N161 K591:N591 K750:N750 K113:N113" name="Range1"/>
    <protectedRange sqref="K81:M87 K764:M770" name="Range1_3"/>
    <protectedRange sqref="I726 I732" name="Range22"/>
    <protectedRange sqref="I41 I44" name="Range2_1"/>
    <protectedRange sqref="J594 I592:I593" name="Range17"/>
    <protectedRange sqref="I743" name="Range23"/>
    <protectedRange sqref="J726 J732" name="Range22_1"/>
    <protectedRange sqref="I694:J694" name="Range20_1"/>
    <protectedRange sqref="I635:J635" name="Range18_1"/>
    <protectedRange sqref="I407:J409 I400:I406" name="Range12_1"/>
    <protectedRange sqref="I46:J46 I21:J21 I23:J40" name="Range2_1_1"/>
    <protectedRange sqref="I98:J99 I109:J109 I105 I106:J106 I112:J113" name="Range3_1"/>
    <protectedRange sqref="I162:J162 I158:I160" name="Range5_1"/>
    <protectedRange sqref="I370:J371" name="Range11_1"/>
    <protectedRange sqref="I435 I436:J440 I464:J465 I451:J457 I461:J461 I410 I459:J459 J458" name="Range13_1"/>
    <protectedRange sqref="I595:J595 J592:J593 I594 I566:I567 I573:J573 I572 I617:J617 I615:J615 I569:J569" name="Range17_1"/>
    <protectedRange sqref="I751:J753 J743" name="Range23_1"/>
    <protectedRange sqref="I644" name="Range17_2"/>
  </protectedRanges>
  <mergeCells count="15">
    <mergeCell ref="K8:N8"/>
    <mergeCell ref="B12:B13"/>
    <mergeCell ref="C12:C13"/>
    <mergeCell ref="K2:N2"/>
    <mergeCell ref="K3:N3"/>
    <mergeCell ref="E12:E13"/>
    <mergeCell ref="F12:F13"/>
    <mergeCell ref="B11:N11"/>
    <mergeCell ref="K12:N12"/>
    <mergeCell ref="G12:G13"/>
    <mergeCell ref="D12:D13"/>
    <mergeCell ref="H12:H13"/>
    <mergeCell ref="K4:N4"/>
    <mergeCell ref="K6:N6"/>
    <mergeCell ref="K7:N7"/>
  </mergeCells>
  <pageMargins left="0.2" right="0.2" top="0.25" bottom="0.25" header="0" footer="0"/>
  <pageSetup paperSize="9" scale="85" firstPageNumber="9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1. Ekamutner</vt:lpstr>
      <vt:lpstr>2.Gorcarakan tsaxs</vt:lpstr>
      <vt:lpstr>3.Tntesagitakan tsaxs</vt:lpstr>
      <vt:lpstr>4.Devicit </vt:lpstr>
      <vt:lpstr>5.Havelurd </vt:lpstr>
      <vt:lpstr>4.Gorcarakan ev tntesagitakan</vt:lpstr>
      <vt:lpstr>'1. Ekamutner'!Print_Area</vt:lpstr>
      <vt:lpstr>'2.Gorcarakan tsaxs'!Print_Area</vt:lpstr>
      <vt:lpstr>'3.Tntesagitakan tsaxs'!Print_Area</vt:lpstr>
      <vt:lpstr>'4.Gorcarakan ev tntesagitakan'!Print_Area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https://mul2.gyumricity.am/tasks/18961/oneclick/Budjei havelvac 2022hunis (22.07.2022 verjnakan.xlsx?token=1bb7b28edd328859639f3152a96aa319</cp:keywords>
  <cp:lastModifiedBy>user_2</cp:lastModifiedBy>
  <cp:lastPrinted>2025-05-23T08:11:05Z</cp:lastPrinted>
  <dcterms:created xsi:type="dcterms:W3CDTF">2014-12-23T06:44:04Z</dcterms:created>
  <dcterms:modified xsi:type="dcterms:W3CDTF">2025-11-27T13:38:35Z</dcterms:modified>
</cp:coreProperties>
</file>